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C:\Terraqueous\PIPL NORTHEAST SANDY SURVEY\PHASE 3 BEACHES FINAL FILES\"/>
    </mc:Choice>
  </mc:AlternateContent>
  <bookViews>
    <workbookView xWindow="120" yWindow="825" windowWidth="14355" windowHeight="6540"/>
  </bookViews>
  <sheets>
    <sheet name="Totals" sheetId="2" r:id="rId1"/>
    <sheet name="ME" sheetId="6" r:id="rId2"/>
    <sheet name="NH" sheetId="7" r:id="rId3"/>
    <sheet name="MA" sheetId="8" r:id="rId4"/>
    <sheet name="RI" sheetId="9" r:id="rId5"/>
    <sheet name="CT" sheetId="10" r:id="rId6"/>
    <sheet name="NY - LIS" sheetId="11" r:id="rId7"/>
    <sheet name="NY - PECONIC" sheetId="12" r:id="rId8"/>
    <sheet name="NY - ATLANTIC" sheetId="13" r:id="rId9"/>
    <sheet name="NJ" sheetId="14" r:id="rId10"/>
    <sheet name="DE" sheetId="15" r:id="rId11"/>
    <sheet name="MD" sheetId="16" r:id="rId12"/>
    <sheet name="VA" sheetId="17" r:id="rId13"/>
    <sheet name="NC" sheetId="18" r:id="rId14"/>
  </sheets>
  <calcPr calcId="171027"/>
</workbook>
</file>

<file path=xl/calcChain.xml><?xml version="1.0" encoding="utf-8"?>
<calcChain xmlns="http://schemas.openxmlformats.org/spreadsheetml/2006/main">
  <c r="E141" i="8" l="1"/>
  <c r="E142" i="8"/>
  <c r="E140" i="8"/>
  <c r="E389" i="8" l="1"/>
  <c r="E388" i="8"/>
  <c r="E387" i="8"/>
  <c r="E386" i="8"/>
  <c r="E385" i="8"/>
  <c r="E384" i="8"/>
  <c r="E383" i="8"/>
  <c r="E382" i="8"/>
  <c r="E380" i="8"/>
  <c r="E379" i="8"/>
  <c r="E378" i="8"/>
  <c r="E377" i="8"/>
  <c r="E376" i="8"/>
  <c r="E375" i="8"/>
  <c r="E374" i="8"/>
  <c r="E373" i="8"/>
  <c r="E372" i="8"/>
  <c r="E371" i="8"/>
  <c r="E370" i="8"/>
  <c r="E369" i="8"/>
  <c r="E366" i="8"/>
  <c r="E365" i="8"/>
  <c r="E364" i="8"/>
  <c r="E363" i="8"/>
  <c r="E362" i="8"/>
  <c r="E361" i="8"/>
  <c r="E360" i="8"/>
  <c r="E359" i="8"/>
  <c r="E358" i="8"/>
  <c r="E357" i="8"/>
  <c r="E356" i="8"/>
  <c r="E354" i="8"/>
  <c r="E355" i="8"/>
  <c r="E352" i="8"/>
  <c r="E351" i="8"/>
  <c r="E350" i="8"/>
  <c r="E349" i="8"/>
  <c r="E348" i="8"/>
  <c r="E347" i="8"/>
  <c r="E346" i="8"/>
  <c r="E345" i="8"/>
  <c r="E344" i="8"/>
  <c r="E343" i="8"/>
  <c r="E342" i="8"/>
  <c r="E339" i="8"/>
  <c r="E335" i="8" l="1"/>
  <c r="E334" i="8"/>
  <c r="E333" i="8"/>
  <c r="E332" i="8"/>
  <c r="E331" i="8"/>
  <c r="E329" i="8"/>
  <c r="E328" i="8"/>
  <c r="E325" i="8"/>
  <c r="E326" i="8" l="1"/>
  <c r="E324" i="8"/>
  <c r="E323" i="8"/>
  <c r="E321" i="8"/>
  <c r="E320" i="8"/>
  <c r="E319" i="8"/>
  <c r="E318" i="8"/>
  <c r="E317" i="8"/>
  <c r="E316" i="8"/>
  <c r="E315" i="8"/>
  <c r="E337" i="8"/>
  <c r="E314" i="8"/>
  <c r="E313" i="8"/>
  <c r="E312" i="8"/>
  <c r="E311" i="8"/>
  <c r="E310" i="8"/>
  <c r="E309" i="8"/>
  <c r="E308" i="8"/>
  <c r="E303" i="8"/>
  <c r="E301" i="8"/>
  <c r="E302" i="8"/>
  <c r="E300" i="8"/>
  <c r="E299" i="8"/>
  <c r="E298" i="8"/>
  <c r="E297" i="8"/>
  <c r="E296" i="8"/>
  <c r="E295" i="8"/>
  <c r="E294" i="8"/>
  <c r="E293" i="8" l="1"/>
  <c r="E292" i="8"/>
  <c r="E291" i="8"/>
  <c r="E290" i="8"/>
  <c r="E289" i="8"/>
  <c r="E278" i="8" l="1"/>
  <c r="E276" i="8"/>
  <c r="E277" i="8"/>
  <c r="E275" i="8"/>
  <c r="E273" i="8"/>
  <c r="E272" i="8"/>
  <c r="E270" i="8" l="1"/>
  <c r="E268" i="8"/>
  <c r="E284" i="8"/>
  <c r="E283" i="8"/>
  <c r="E282" i="8"/>
  <c r="E280" i="8"/>
  <c r="E281" i="8"/>
  <c r="E279" i="8"/>
  <c r="E263" i="8"/>
  <c r="E262" i="8"/>
  <c r="E261" i="8"/>
  <c r="E260" i="8"/>
  <c r="E264" i="8"/>
  <c r="E257" i="8"/>
  <c r="E255" i="8"/>
  <c r="E254" i="8"/>
  <c r="E253" i="8"/>
  <c r="E252" i="8"/>
  <c r="E250" i="8"/>
  <c r="E249" i="8"/>
  <c r="E246" i="8"/>
  <c r="E241" i="8"/>
  <c r="E240" i="8"/>
  <c r="E239" i="8" l="1"/>
  <c r="E238" i="8"/>
  <c r="E236" i="8"/>
  <c r="E287" i="8" l="1"/>
  <c r="E286" i="8"/>
  <c r="E285" i="8"/>
  <c r="E266" i="8"/>
  <c r="E265" i="8"/>
  <c r="E243" i="8"/>
  <c r="E245" i="8"/>
  <c r="E244" i="8"/>
  <c r="E234" i="8"/>
  <c r="E233" i="8"/>
  <c r="E232" i="8"/>
  <c r="E230" i="8"/>
  <c r="E231" i="8"/>
  <c r="E228" i="8"/>
  <c r="E227" i="8"/>
  <c r="E226" i="8"/>
  <c r="E220" i="8"/>
  <c r="E218" i="8"/>
  <c r="E216" i="8"/>
  <c r="E214" i="8"/>
  <c r="E213" i="8"/>
  <c r="E212" i="8"/>
  <c r="E210" i="8"/>
  <c r="E207" i="8"/>
  <c r="E206" i="8"/>
  <c r="E202" i="8" l="1"/>
  <c r="E201" i="8"/>
  <c r="E199" i="8"/>
  <c r="E196" i="8"/>
  <c r="E197" i="8"/>
  <c r="E198" i="8"/>
  <c r="E195" i="8"/>
  <c r="E194" i="8"/>
  <c r="E193" i="8"/>
  <c r="E192" i="8"/>
  <c r="E190" i="8"/>
  <c r="E191" i="8"/>
  <c r="E186" i="8"/>
  <c r="E185" i="8"/>
  <c r="E184" i="8"/>
  <c r="E183" i="8"/>
  <c r="E182" i="8"/>
  <c r="E177" i="8" l="1"/>
  <c r="E175" i="8"/>
  <c r="E173" i="8"/>
  <c r="E172" i="8"/>
  <c r="E171" i="8"/>
  <c r="E170" i="8"/>
  <c r="E169" i="8"/>
  <c r="E167" i="8"/>
  <c r="E166" i="8"/>
  <c r="E165" i="8"/>
  <c r="E164" i="8"/>
  <c r="E163" i="8"/>
  <c r="E162" i="8"/>
  <c r="E161" i="8"/>
  <c r="E160" i="8"/>
  <c r="E158" i="8"/>
  <c r="E157" i="8"/>
  <c r="E154" i="8" l="1"/>
  <c r="E153" i="8"/>
  <c r="E151" i="8"/>
  <c r="E150" i="8"/>
  <c r="E149" i="8"/>
  <c r="E147" i="8"/>
  <c r="E146" i="8"/>
  <c r="E145" i="8"/>
  <c r="E143" i="8" l="1"/>
  <c r="E129" i="8"/>
  <c r="E125" i="8"/>
  <c r="E124" i="8"/>
  <c r="E123" i="8"/>
  <c r="E122" i="8"/>
  <c r="E116" i="8"/>
  <c r="E127" i="8" l="1"/>
  <c r="E126" i="8"/>
  <c r="E115" i="8" l="1"/>
  <c r="E114" i="8"/>
  <c r="E111" i="8"/>
  <c r="E106" i="8"/>
  <c r="E102" i="8"/>
  <c r="E98" i="8"/>
  <c r="E90" i="8"/>
  <c r="E87" i="8"/>
  <c r="E78" i="8" l="1"/>
  <c r="E77" i="8"/>
  <c r="E72" i="8" l="1"/>
  <c r="E65" i="8"/>
  <c r="E63" i="8"/>
  <c r="E55" i="8" l="1"/>
  <c r="E54" i="8"/>
  <c r="E47" i="8"/>
  <c r="E46" i="8"/>
  <c r="E44" i="8"/>
  <c r="E45" i="8"/>
  <c r="E42" i="8"/>
  <c r="E41" i="8"/>
  <c r="E40" i="8"/>
  <c r="E33" i="8" l="1"/>
  <c r="E24" i="8" l="1"/>
  <c r="E22" i="8"/>
  <c r="E21" i="8"/>
  <c r="E18" i="8"/>
  <c r="E13" i="8"/>
  <c r="E11" i="8"/>
  <c r="E7" i="8"/>
  <c r="E6" i="8"/>
  <c r="E5" i="8"/>
  <c r="E4" i="8"/>
  <c r="E3" i="8" l="1"/>
  <c r="E2" i="8"/>
  <c r="E10" i="14" l="1"/>
  <c r="E9" i="14"/>
  <c r="D16" i="2" l="1"/>
  <c r="E170" i="18" l="1"/>
  <c r="E151" i="18" l="1"/>
  <c r="E167" i="18" l="1"/>
  <c r="E166" i="18"/>
  <c r="E165" i="18"/>
  <c r="E164" i="18"/>
  <c r="E163" i="18"/>
  <c r="E162" i="18"/>
  <c r="E161" i="18"/>
  <c r="E160" i="18"/>
  <c r="E159" i="18"/>
  <c r="E158" i="18"/>
  <c r="E157" i="18"/>
  <c r="E156" i="18"/>
  <c r="E155" i="18"/>
  <c r="E154" i="18"/>
  <c r="E153" i="18"/>
  <c r="E152" i="18"/>
  <c r="E150" i="18"/>
  <c r="E149" i="18"/>
  <c r="E148" i="18"/>
  <c r="E147" i="18"/>
  <c r="E146" i="18"/>
  <c r="E145" i="18"/>
  <c r="E144" i="18"/>
  <c r="E143" i="18"/>
  <c r="E142" i="18"/>
  <c r="E141" i="18"/>
  <c r="E140" i="18"/>
  <c r="E139" i="18"/>
  <c r="E138" i="18"/>
  <c r="E137" i="18"/>
  <c r="E136" i="18"/>
  <c r="E135" i="18"/>
  <c r="E134" i="18"/>
  <c r="E133" i="18"/>
  <c r="E132" i="18"/>
  <c r="E131" i="18"/>
  <c r="E130" i="18"/>
  <c r="E129" i="18"/>
  <c r="E128" i="18"/>
  <c r="E127" i="18"/>
  <c r="E126" i="18"/>
  <c r="E125" i="18"/>
  <c r="E124" i="18"/>
  <c r="E123" i="18"/>
  <c r="E122" i="18"/>
  <c r="E121" i="18"/>
  <c r="E120" i="18"/>
  <c r="E119" i="18"/>
  <c r="E118" i="18"/>
  <c r="E117" i="18"/>
  <c r="E116" i="18"/>
  <c r="E115" i="18"/>
  <c r="E114" i="18"/>
  <c r="E113" i="18"/>
  <c r="E112" i="18"/>
  <c r="E111" i="18"/>
  <c r="E110" i="18"/>
  <c r="E109" i="18"/>
  <c r="E108" i="18"/>
  <c r="E107" i="18"/>
  <c r="E106" i="18"/>
  <c r="E105" i="18"/>
  <c r="E104" i="18"/>
  <c r="E103" i="18"/>
  <c r="E102" i="18"/>
  <c r="E101" i="18"/>
  <c r="E100" i="18"/>
  <c r="E99" i="18"/>
  <c r="E98" i="18"/>
  <c r="E97" i="18"/>
  <c r="E96" i="18"/>
  <c r="E95" i="18"/>
  <c r="E94" i="18"/>
  <c r="E93" i="18"/>
  <c r="E92" i="18"/>
  <c r="E91" i="18"/>
  <c r="E90" i="18"/>
  <c r="E89" i="18"/>
  <c r="E88" i="18"/>
  <c r="E87" i="18"/>
  <c r="E86" i="18"/>
  <c r="E85" i="18"/>
  <c r="E84" i="18"/>
  <c r="E83" i="18"/>
  <c r="E82" i="18"/>
  <c r="E81" i="18"/>
  <c r="E80" i="18"/>
  <c r="E79" i="18"/>
  <c r="E78" i="18"/>
  <c r="E77" i="18"/>
  <c r="E76" i="18"/>
  <c r="E75" i="18"/>
  <c r="E74" i="18"/>
  <c r="E73" i="18"/>
  <c r="E72" i="18"/>
  <c r="E71" i="18"/>
  <c r="E70" i="18"/>
  <c r="E69" i="18"/>
  <c r="E68" i="18"/>
  <c r="E67" i="18"/>
  <c r="E66" i="18"/>
  <c r="E65" i="18"/>
  <c r="E64" i="18"/>
  <c r="E63" i="18"/>
  <c r="E62" i="18"/>
  <c r="E61" i="18"/>
  <c r="E60" i="18"/>
  <c r="E59" i="18"/>
  <c r="E58" i="18"/>
  <c r="E57" i="18"/>
  <c r="E56" i="18"/>
  <c r="E55" i="18"/>
  <c r="E54" i="18"/>
  <c r="E53" i="18"/>
  <c r="E52" i="18"/>
  <c r="E51" i="18"/>
  <c r="E50" i="18"/>
  <c r="E49" i="18"/>
  <c r="E48" i="18"/>
  <c r="E47" i="18"/>
  <c r="E46" i="18"/>
  <c r="E45" i="18"/>
  <c r="E44" i="18"/>
  <c r="E43" i="18"/>
  <c r="E42" i="18"/>
  <c r="E41" i="18"/>
  <c r="E40" i="18"/>
  <c r="E39" i="18"/>
  <c r="E38" i="18"/>
  <c r="E37" i="18"/>
  <c r="E36" i="18"/>
  <c r="E35" i="18"/>
  <c r="E34" i="18"/>
  <c r="E33" i="18"/>
  <c r="E32" i="18"/>
  <c r="E31" i="18"/>
  <c r="E30" i="18"/>
  <c r="E29" i="18"/>
  <c r="E28" i="18"/>
  <c r="E27" i="18"/>
  <c r="E26" i="18"/>
  <c r="E25" i="18"/>
  <c r="E24" i="18"/>
  <c r="E23" i="18"/>
  <c r="E22" i="18"/>
  <c r="E21" i="18"/>
  <c r="E20" i="18"/>
  <c r="E19" i="18" l="1"/>
  <c r="E18" i="18"/>
  <c r="E17" i="18"/>
  <c r="E16" i="18"/>
  <c r="E15" i="18"/>
  <c r="E14" i="18"/>
  <c r="E12" i="18"/>
  <c r="E13" i="18"/>
  <c r="E11" i="18"/>
  <c r="E10" i="18"/>
  <c r="E9" i="18"/>
  <c r="E8" i="18"/>
  <c r="E7" i="18"/>
  <c r="E6" i="18"/>
  <c r="E5" i="18" l="1"/>
  <c r="E4" i="18"/>
  <c r="E3" i="18"/>
  <c r="E2" i="18"/>
  <c r="E21" i="10" l="1"/>
  <c r="E42" i="10" l="1"/>
  <c r="E2" i="10" l="1"/>
  <c r="E3" i="10"/>
  <c r="E4" i="10"/>
  <c r="E5" i="10"/>
  <c r="E6" i="10"/>
  <c r="E7" i="10"/>
  <c r="E8" i="10"/>
  <c r="E9" i="10"/>
  <c r="E10" i="10"/>
  <c r="E11" i="10"/>
  <c r="E13" i="10"/>
  <c r="E14" i="10"/>
  <c r="E15" i="10"/>
  <c r="E16" i="10"/>
  <c r="E17" i="10"/>
  <c r="E18" i="10"/>
  <c r="E19" i="10"/>
  <c r="E20" i="10"/>
  <c r="E22" i="10"/>
  <c r="E24" i="10"/>
  <c r="E25" i="10"/>
  <c r="E26" i="10"/>
  <c r="E27" i="10"/>
  <c r="E28" i="10"/>
  <c r="E29" i="10"/>
  <c r="E30" i="10"/>
  <c r="E31" i="10"/>
  <c r="E32" i="10"/>
  <c r="E33" i="10"/>
  <c r="E34" i="10"/>
  <c r="E35" i="10"/>
  <c r="E36" i="10"/>
  <c r="E37" i="10"/>
  <c r="E38" i="10"/>
  <c r="E39" i="10"/>
  <c r="E40" i="10"/>
  <c r="E41"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7" i="10" l="1"/>
  <c r="E88" i="10" s="1"/>
  <c r="E92" i="12" l="1"/>
  <c r="C5" i="2"/>
  <c r="E85" i="9"/>
  <c r="E84" i="9" l="1"/>
  <c r="E80" i="9"/>
  <c r="E78" i="9"/>
  <c r="E70" i="9"/>
  <c r="E62" i="9"/>
  <c r="E61" i="9"/>
  <c r="E58" i="9"/>
  <c r="E57" i="9"/>
  <c r="E55" i="9"/>
  <c r="E54" i="9"/>
  <c r="E52" i="9"/>
  <c r="E51" i="9"/>
  <c r="E49" i="9"/>
  <c r="E50" i="9"/>
  <c r="E48" i="9"/>
  <c r="E45" i="9"/>
  <c r="E44" i="9"/>
  <c r="E42" i="9"/>
  <c r="E41" i="9"/>
  <c r="E40" i="9"/>
  <c r="E38" i="9"/>
  <c r="E36" i="9"/>
  <c r="E28" i="9"/>
  <c r="E27" i="9"/>
  <c r="E25" i="9"/>
  <c r="E24" i="9"/>
  <c r="E23" i="9"/>
  <c r="E22" i="9"/>
  <c r="E21" i="9"/>
  <c r="E20" i="9"/>
  <c r="E19" i="9"/>
  <c r="E18" i="9"/>
  <c r="E17" i="9"/>
  <c r="E15" i="9"/>
  <c r="E9" i="9"/>
  <c r="E5" i="9"/>
  <c r="E13" i="9" l="1"/>
  <c r="E12" i="9"/>
  <c r="E11" i="9"/>
  <c r="E10" i="9"/>
  <c r="E8" i="9" l="1"/>
  <c r="E7" i="9"/>
  <c r="E6" i="9" l="1"/>
  <c r="E4" i="9" l="1"/>
  <c r="E3" i="9"/>
  <c r="E32" i="13" l="1"/>
  <c r="E51" i="13"/>
  <c r="E89" i="12" l="1"/>
  <c r="E88" i="12"/>
  <c r="E83" i="12"/>
  <c r="E82" i="12"/>
  <c r="E81" i="12"/>
  <c r="E80" i="12"/>
  <c r="E79" i="12"/>
  <c r="E78" i="12"/>
  <c r="E77" i="12"/>
  <c r="E76" i="12"/>
  <c r="E73" i="12"/>
  <c r="E72" i="12"/>
  <c r="E71" i="12"/>
  <c r="E70" i="12"/>
  <c r="E69" i="12"/>
  <c r="E68" i="12"/>
  <c r="E67" i="12"/>
  <c r="E66" i="12"/>
  <c r="E65" i="12"/>
  <c r="E64" i="12"/>
  <c r="E61" i="12"/>
  <c r="E60" i="12"/>
  <c r="E55" i="12" l="1"/>
  <c r="E54" i="12"/>
  <c r="E52" i="12"/>
  <c r="E49" i="12"/>
  <c r="E48" i="12"/>
  <c r="E47" i="12"/>
  <c r="E46" i="12"/>
  <c r="E45" i="12"/>
  <c r="E43" i="12"/>
  <c r="E41" i="12"/>
  <c r="E40" i="12"/>
  <c r="E39" i="12"/>
  <c r="E38" i="12"/>
  <c r="E37" i="12"/>
  <c r="E36" i="12"/>
  <c r="E35" i="12"/>
  <c r="E34" i="12"/>
  <c r="E33" i="12"/>
  <c r="E32" i="12"/>
  <c r="E30" i="12"/>
  <c r="E27" i="12"/>
  <c r="E26" i="12"/>
  <c r="E25" i="12"/>
  <c r="E24" i="12"/>
  <c r="E23" i="12"/>
  <c r="E22" i="12"/>
  <c r="E21" i="12"/>
  <c r="E20" i="12"/>
  <c r="E19" i="12"/>
  <c r="E18" i="12"/>
  <c r="E16" i="12"/>
  <c r="E15" i="12"/>
  <c r="E13" i="12"/>
  <c r="E12" i="12"/>
  <c r="E9" i="12"/>
  <c r="E8" i="12"/>
  <c r="E7" i="12"/>
  <c r="E6" i="12"/>
  <c r="E5" i="12"/>
  <c r="E3" i="12"/>
  <c r="E29" i="12" l="1"/>
  <c r="E23" i="6" l="1"/>
  <c r="E41" i="6" l="1"/>
  <c r="E36" i="6"/>
  <c r="E30" i="6"/>
  <c r="E29" i="6"/>
  <c r="E28" i="6"/>
  <c r="E21" i="6"/>
  <c r="E18" i="6" l="1"/>
  <c r="E17" i="6"/>
  <c r="E16" i="6"/>
  <c r="E13" i="6"/>
  <c r="E15" i="6"/>
  <c r="E11" i="6"/>
  <c r="E10" i="6"/>
  <c r="E9" i="6"/>
  <c r="E8" i="6"/>
  <c r="E6" i="6"/>
  <c r="E5" i="6"/>
  <c r="E4" i="6"/>
  <c r="E3" i="6"/>
  <c r="E2" i="6"/>
  <c r="E45" i="6" l="1"/>
  <c r="E44" i="6"/>
  <c r="E43" i="6"/>
  <c r="E42" i="6"/>
  <c r="E37" i="6" l="1"/>
  <c r="E35" i="6"/>
  <c r="E24" i="6" l="1"/>
  <c r="E19" i="6"/>
  <c r="E12" i="6" l="1"/>
  <c r="F17" i="7" l="1"/>
  <c r="E7" i="7"/>
  <c r="E3" i="7"/>
  <c r="E2" i="7"/>
  <c r="E14" i="7"/>
  <c r="E13" i="7"/>
  <c r="E11" i="7"/>
  <c r="E8" i="7"/>
  <c r="E5" i="7"/>
  <c r="E4" i="7"/>
  <c r="E29" i="17" l="1"/>
  <c r="F29" i="17" s="1"/>
  <c r="E23" i="17"/>
  <c r="E22" i="17"/>
  <c r="E21" i="17"/>
  <c r="E20" i="17"/>
  <c r="E19" i="17"/>
  <c r="E25" i="17"/>
  <c r="E8" i="17"/>
  <c r="E5" i="17"/>
  <c r="E4" i="17"/>
  <c r="E3" i="17"/>
  <c r="E4" i="15" l="1"/>
  <c r="E3" i="15"/>
  <c r="E5" i="15"/>
  <c r="E6" i="15"/>
  <c r="E2" i="15"/>
  <c r="E38" i="13" l="1"/>
  <c r="E37" i="13"/>
  <c r="E36" i="13"/>
  <c r="E35" i="13"/>
  <c r="E26" i="13"/>
  <c r="E25" i="13"/>
  <c r="E23" i="13"/>
  <c r="E24" i="13"/>
  <c r="E17" i="13"/>
  <c r="E16" i="13"/>
  <c r="E13" i="13"/>
  <c r="E9" i="13"/>
  <c r="E8" i="13"/>
  <c r="E7" i="13"/>
  <c r="F74" i="11"/>
  <c r="E72" i="11"/>
  <c r="E71" i="11"/>
  <c r="E70" i="11"/>
  <c r="E69" i="11"/>
  <c r="E68" i="11"/>
  <c r="E67" i="11"/>
  <c r="E66" i="11"/>
  <c r="E65" i="11"/>
  <c r="E64" i="11"/>
  <c r="E62" i="11"/>
  <c r="E60" i="11"/>
  <c r="E58" i="11"/>
  <c r="E59" i="11"/>
  <c r="E57" i="11"/>
  <c r="E56" i="11"/>
  <c r="E54" i="11"/>
  <c r="E52" i="11"/>
  <c r="E51" i="11"/>
  <c r="E50" i="11"/>
  <c r="E48" i="11"/>
  <c r="E47" i="11"/>
  <c r="E46" i="11"/>
  <c r="E45" i="11"/>
  <c r="E44" i="11"/>
  <c r="E43" i="11"/>
  <c r="E41" i="11"/>
  <c r="E40" i="11"/>
  <c r="E39" i="11"/>
  <c r="E38" i="11"/>
  <c r="E37" i="11"/>
  <c r="E36" i="11"/>
  <c r="E35" i="11"/>
  <c r="E34" i="11"/>
  <c r="E33" i="11"/>
  <c r="E32" i="11"/>
  <c r="E31" i="11"/>
  <c r="E30" i="11"/>
  <c r="E29" i="11"/>
  <c r="E28" i="11"/>
  <c r="E25" i="11"/>
  <c r="E24" i="11"/>
  <c r="E23" i="11"/>
  <c r="E17" i="11"/>
  <c r="E14" i="11"/>
  <c r="E10" i="11"/>
  <c r="E8" i="11"/>
  <c r="E7" i="11" l="1"/>
  <c r="E5" i="11"/>
  <c r="E169" i="18" l="1"/>
  <c r="E87" i="12" l="1"/>
  <c r="E86" i="12"/>
  <c r="E85" i="12"/>
  <c r="E84" i="12"/>
  <c r="E75" i="12"/>
  <c r="E74" i="12"/>
  <c r="E63" i="12"/>
  <c r="E62" i="12"/>
  <c r="E59" i="12"/>
  <c r="E57" i="12"/>
  <c r="E53" i="12"/>
  <c r="E51" i="12"/>
  <c r="E50" i="12"/>
  <c r="E44" i="12"/>
  <c r="E42" i="12"/>
  <c r="E31" i="12"/>
  <c r="E17" i="12"/>
  <c r="E14" i="12"/>
  <c r="E11" i="12"/>
  <c r="E10" i="12"/>
  <c r="E4" i="12"/>
  <c r="E2" i="12"/>
  <c r="E91" i="12" s="1"/>
  <c r="E63" i="11"/>
  <c r="E61" i="11"/>
  <c r="E53" i="11"/>
  <c r="E49" i="11"/>
  <c r="E42" i="11"/>
  <c r="E27" i="11"/>
  <c r="E26" i="11"/>
  <c r="E22" i="11"/>
  <c r="E21" i="11"/>
  <c r="E20" i="11"/>
  <c r="E19" i="11"/>
  <c r="E18" i="11"/>
  <c r="E13" i="11"/>
  <c r="E12" i="11"/>
  <c r="E9" i="11"/>
  <c r="E6" i="11"/>
  <c r="E4" i="11"/>
  <c r="E74" i="11"/>
  <c r="E79" i="9"/>
  <c r="E77" i="9"/>
  <c r="E76" i="9"/>
  <c r="E75" i="9"/>
  <c r="E74" i="9"/>
  <c r="E73" i="9"/>
  <c r="E72" i="9"/>
  <c r="E71" i="9"/>
  <c r="E69" i="9"/>
  <c r="E68" i="9"/>
  <c r="E67" i="9"/>
  <c r="E66" i="9"/>
  <c r="E65" i="9"/>
  <c r="E64" i="9"/>
  <c r="E60" i="9"/>
  <c r="E53" i="9"/>
  <c r="E47" i="9"/>
  <c r="E46" i="9"/>
  <c r="E43" i="9"/>
  <c r="E39" i="9"/>
  <c r="E37" i="9"/>
  <c r="E35" i="9"/>
  <c r="E34" i="9"/>
  <c r="E33" i="9"/>
  <c r="E32" i="9"/>
  <c r="E31" i="9"/>
  <c r="E30" i="9"/>
  <c r="E29" i="9"/>
  <c r="E26" i="9"/>
  <c r="E16" i="9"/>
  <c r="E14" i="9"/>
  <c r="E2" i="9"/>
  <c r="E367" i="8"/>
  <c r="E353" i="8"/>
  <c r="E70" i="8"/>
  <c r="E43" i="8"/>
  <c r="E27" i="8"/>
  <c r="E16" i="8"/>
  <c r="E391" i="8" s="1"/>
  <c r="E392" i="8" s="1"/>
  <c r="E15" i="7"/>
  <c r="E12" i="7"/>
  <c r="E9" i="7"/>
  <c r="E17" i="7"/>
  <c r="E31" i="6"/>
  <c r="E25" i="6"/>
  <c r="E20" i="6"/>
  <c r="E47" i="6"/>
  <c r="F47" i="6" s="1"/>
  <c r="E7" i="6"/>
  <c r="C8" i="2" l="1"/>
  <c r="C7" i="2"/>
  <c r="C6" i="2"/>
  <c r="C4" i="2"/>
  <c r="C3" i="2"/>
  <c r="C2" i="2"/>
  <c r="C12" i="2"/>
  <c r="E4" i="16" l="1"/>
  <c r="F4" i="16" s="1"/>
  <c r="E7" i="15"/>
  <c r="F7" i="15" s="1"/>
  <c r="E16" i="14"/>
  <c r="F16" i="14" s="1"/>
  <c r="E10" i="13"/>
  <c r="E19" i="13"/>
  <c r="E31" i="13"/>
  <c r="F51" i="13" s="1"/>
  <c r="B11" i="2" l="1"/>
  <c r="C11" i="2" s="1"/>
  <c r="B12" i="2"/>
  <c r="B10" i="2"/>
  <c r="C10" i="2" s="1"/>
  <c r="B9" i="2"/>
  <c r="B13" i="2"/>
  <c r="C13" i="2" s="1"/>
  <c r="B16" i="2" l="1"/>
  <c r="C16" i="2" s="1"/>
  <c r="C9" i="2"/>
</calcChain>
</file>

<file path=xl/sharedStrings.xml><?xml version="1.0" encoding="utf-8"?>
<sst xmlns="http://schemas.openxmlformats.org/spreadsheetml/2006/main" count="7344" uniqueCount="2391">
  <si>
    <t>State</t>
  </si>
  <si>
    <t>Location</t>
  </si>
  <si>
    <t>Ownership</t>
  </si>
  <si>
    <t>Source(s)</t>
  </si>
  <si>
    <t>County</t>
  </si>
  <si>
    <t>USFWS</t>
  </si>
  <si>
    <t>NPS</t>
  </si>
  <si>
    <t>Type</t>
  </si>
  <si>
    <t>NWR</t>
  </si>
  <si>
    <t>park</t>
  </si>
  <si>
    <t>Known Habitat Modifications</t>
  </si>
  <si>
    <t>TOTAL</t>
  </si>
  <si>
    <t>Nassau</t>
  </si>
  <si>
    <t>nature preserve</t>
  </si>
  <si>
    <t>USFWS (2010)</t>
  </si>
  <si>
    <t>recreation area; historic fort</t>
  </si>
  <si>
    <t>military base</t>
  </si>
  <si>
    <t>TNC</t>
  </si>
  <si>
    <t>state</t>
  </si>
  <si>
    <t>W. Scott Cameron Beach, Bridgehampton</t>
  </si>
  <si>
    <t>Sagg Main Beach, Sagaponack</t>
  </si>
  <si>
    <t>Mecox Beach</t>
  </si>
  <si>
    <t>Flying Point Beach, Water Mill</t>
  </si>
  <si>
    <t>Town of Southampton</t>
  </si>
  <si>
    <t>Amagansett NWR</t>
  </si>
  <si>
    <t>NJ</t>
  </si>
  <si>
    <t>Island Beach State Park</t>
  </si>
  <si>
    <t>Ocean</t>
  </si>
  <si>
    <t>state park</t>
  </si>
  <si>
    <t>Cape May</t>
  </si>
  <si>
    <t>USCG Cape May Training Center</t>
  </si>
  <si>
    <t>MD</t>
  </si>
  <si>
    <t>Assateague State Park</t>
  </si>
  <si>
    <t>Robert Moses State Park</t>
  </si>
  <si>
    <t>Smith Point County Park</t>
  </si>
  <si>
    <t>Suffolk County</t>
  </si>
  <si>
    <t>Suffolk</t>
  </si>
  <si>
    <t>VA</t>
  </si>
  <si>
    <t>Jones Beach State Park</t>
  </si>
  <si>
    <t>Captree State Park</t>
  </si>
  <si>
    <t>Shadmoor State Park</t>
  </si>
  <si>
    <t>Hither Hills State Park</t>
  </si>
  <si>
    <t>Napeague State Park</t>
  </si>
  <si>
    <t>national seashore</t>
  </si>
  <si>
    <t>NY State Office of Parks, Recreation &amp; Historic Preservation (www.nysparks.com)</t>
  </si>
  <si>
    <t>campground, recreational facilities</t>
  </si>
  <si>
    <t>Monmouth County</t>
  </si>
  <si>
    <t>Holgate Unit, Edwin B. Forsythe NWR</t>
  </si>
  <si>
    <t>Farrell et al. (1999), Kennish (2001)</t>
  </si>
  <si>
    <t>Sandy Hook Unit, Gateway NRA</t>
  </si>
  <si>
    <t>Monmouth</t>
  </si>
  <si>
    <t>North Brigantine Natural Area</t>
  </si>
  <si>
    <t>Borough of Stone Harbor</t>
  </si>
  <si>
    <t>Two Mile Beach Unit, Cape May NWR</t>
  </si>
  <si>
    <t>US Coast Guard</t>
  </si>
  <si>
    <t>Corson's Inlet State Park</t>
  </si>
  <si>
    <t>Strathmere Natural Area</t>
  </si>
  <si>
    <t>DE</t>
  </si>
  <si>
    <t>Sussex</t>
  </si>
  <si>
    <t>Worcester</t>
  </si>
  <si>
    <t>Northampton</t>
  </si>
  <si>
    <t>Accomack</t>
  </si>
  <si>
    <t>Queens</t>
  </si>
  <si>
    <t>Kings</t>
  </si>
  <si>
    <t>Cape Henlopen State Park</t>
  </si>
  <si>
    <t>state of DE</t>
  </si>
  <si>
    <t>Delaware Seashore State Park</t>
  </si>
  <si>
    <t>Fenwick Island State Park</t>
  </si>
  <si>
    <t>state of MD</t>
  </si>
  <si>
    <t>Maryland DNR (http://www.dnr.state.md.us/publiclands/eastern/assateague.asp)</t>
  </si>
  <si>
    <t>Assateague Island National Seashore</t>
  </si>
  <si>
    <t>Chincoteague NWR</t>
  </si>
  <si>
    <t>Assawoman Island Unit, Chincoteague NWR</t>
  </si>
  <si>
    <t>Parramore Island Natural Area Preserve</t>
  </si>
  <si>
    <t>Hog Island, Virginia Coast Reserve</t>
  </si>
  <si>
    <t>Wreck Island Natural Area Preserve</t>
  </si>
  <si>
    <t>Ship Shoal Island, Virginia Coast Reserve</t>
  </si>
  <si>
    <t>Mink Island, Virginia Coast Reserve</t>
  </si>
  <si>
    <t>Myrtle Island, Virginia Coast Reserve</t>
  </si>
  <si>
    <t>Smith Island, Virginia Coast Reserve</t>
  </si>
  <si>
    <t>Fishermans Island NWR</t>
  </si>
  <si>
    <t>Back Bay NWR</t>
  </si>
  <si>
    <t>False Cape State Park</t>
  </si>
  <si>
    <t>Virginia Beach</t>
  </si>
  <si>
    <t>NASA</t>
  </si>
  <si>
    <t>US Navy</t>
  </si>
  <si>
    <t>Little Island Park</t>
  </si>
  <si>
    <t>City of Virginia Beach</t>
  </si>
  <si>
    <t>Seven Presidents Oceanfront Park</t>
  </si>
  <si>
    <t>Town of Brookhaven</t>
  </si>
  <si>
    <t>Atlantique Park</t>
  </si>
  <si>
    <t>Town of Islip</t>
  </si>
  <si>
    <t>USFWS (http://www.fws.gov/refuge/Cape_May/what_we_do/resource_management.html)</t>
  </si>
  <si>
    <t>Rheinstein Estate Park</t>
  </si>
  <si>
    <t>Town of East Hampton</t>
  </si>
  <si>
    <t>Kirk Beach Park</t>
  </si>
  <si>
    <t>Village of East Hampton</t>
  </si>
  <si>
    <t>Town of East Hampton (http://www.town.east-hampton.ny.us/HtmlPages/Recreation/Beaches.html)</t>
  </si>
  <si>
    <t>Atlantic Avenue Town Park</t>
  </si>
  <si>
    <t>fragmentation (more than 12 parcels)</t>
  </si>
  <si>
    <t>Atlantic Double Dunes Preserve</t>
  </si>
  <si>
    <t>Indian Wells Beach</t>
  </si>
  <si>
    <t>Two Mile Hollow Beach</t>
  </si>
  <si>
    <t>East Hampton Main Beach</t>
  </si>
  <si>
    <t>Shinnecock County Park East</t>
  </si>
  <si>
    <t>Quogue Village Beach</t>
  </si>
  <si>
    <t>Pike's Beach, West Hampton Dunes</t>
  </si>
  <si>
    <t>Cupsogue Beach County Park</t>
  </si>
  <si>
    <t>Davis Town Park</t>
  </si>
  <si>
    <t>Town of Babylon Beaches (Gilgo, Cedar, &amp; Overlook)</t>
  </si>
  <si>
    <t>Town of Babylon</t>
  </si>
  <si>
    <t>Tobay Beach &amp; JFK Memorial Wildlife Sanctuary</t>
  </si>
  <si>
    <t>Town of Oyster Bay</t>
  </si>
  <si>
    <t>Point Lookout Town Park</t>
  </si>
  <si>
    <t>Malibu Town Park</t>
  </si>
  <si>
    <t>Nickerson Beach Park</t>
  </si>
  <si>
    <t>Lido West Town Park</t>
  </si>
  <si>
    <t>Silver Point County Park</t>
  </si>
  <si>
    <t>Nassau County</t>
  </si>
  <si>
    <t>state of NY</t>
  </si>
  <si>
    <t>Georgica Beach</t>
  </si>
  <si>
    <t>Fire Island NS (inholdings removed)</t>
  </si>
  <si>
    <t>Jamaica Bay Unit - Jacob Riis Park, Fort Tilden &amp; Breezy Point of Gateway NRA</t>
  </si>
  <si>
    <t>national recreation area</t>
  </si>
  <si>
    <t>Stone Harbor - The Point Conservation Management Area</t>
  </si>
  <si>
    <t>Atlantic</t>
  </si>
  <si>
    <t>New York City</t>
  </si>
  <si>
    <t>unnamed islet in Gargathy Inlet</t>
  </si>
  <si>
    <t>USFWS &amp; TNC</t>
  </si>
  <si>
    <t>NWR &amp; nature preserve</t>
  </si>
  <si>
    <t>Dallas et al. (2013), Hall and Pilkey (1991)</t>
  </si>
  <si>
    <t>seawall, buried timber groin at Gunnison Beach, 2 or 3 buried rock groins at North Beach, beach fill (7.4 mcy from 1975-2002), dredging offshore of tip of spit at north end (removing over 7.3 mcy from 1960-2011), hard stabilization and beach fill on updrift beaches to south</t>
  </si>
  <si>
    <t>ORV</t>
  </si>
  <si>
    <t>Egypt Beach</t>
  </si>
  <si>
    <t>Wiborg Beach</t>
  </si>
  <si>
    <t>USCG LORAN Station</t>
  </si>
  <si>
    <t>nature preserve, state park</t>
  </si>
  <si>
    <t>TNC, state of NJ</t>
  </si>
  <si>
    <t>groin at east end, groins to west in Cape May Point, beach fill, historic concrete Battery on beach</t>
  </si>
  <si>
    <t>Manhattan Beach Park</t>
  </si>
  <si>
    <t>NASA Flight Center</t>
  </si>
  <si>
    <t>military facility</t>
  </si>
  <si>
    <t>USFWS (2014d)</t>
  </si>
  <si>
    <t>Town of Hempstead</t>
  </si>
  <si>
    <t>Lido East Town Park</t>
  </si>
  <si>
    <t>USACE (2006)</t>
  </si>
  <si>
    <t>Lower Cape May Meadows:  TNC South Cape May Meadows Preserve &amp; Cape May State Park</t>
  </si>
  <si>
    <t>Dawson Shoals (islet in Wachapreague Inlet)</t>
  </si>
  <si>
    <t>Commonwealth of VA and/or TNC</t>
  </si>
  <si>
    <t>Commonwealth of VA</t>
  </si>
  <si>
    <t>Metompkin Island  - Chincoteague NWR &amp; TNC</t>
  </si>
  <si>
    <t>Great Gun Beach</t>
  </si>
  <si>
    <t>jetty at Moriches Inlet</t>
  </si>
  <si>
    <t>sand fencing</t>
  </si>
  <si>
    <t>park, public beach</t>
  </si>
  <si>
    <t>dredge spoil placed on Ditch Plains beach immediately to east by Town of East Hampton</t>
  </si>
  <si>
    <t>beach fill proposed for Montauk immediately to east</t>
  </si>
  <si>
    <t>fragmentation (2 sections, east and west)</t>
  </si>
  <si>
    <t>partly developed; federal beach fill project in 1959-60; historical pond letting of Hook Pond</t>
  </si>
  <si>
    <t>beach fill from federal Westhampton Interim Project</t>
  </si>
  <si>
    <t>recreational facilities; Robert Moses Causeway to Fire Island crosses beach; dredging of Fire Island Inlet navigation channel in front of beach</t>
  </si>
  <si>
    <t>ORV by permit; "sore thumb" dike cosntructed with rock and fill in 1959</t>
  </si>
  <si>
    <t>Hanc (2007), PSDS (2014), NY State Office of Parks, Recreation &amp; Historic Preservation (www.nysparks.com)</t>
  </si>
  <si>
    <t>jetty at East Rockaway Inlet</t>
  </si>
  <si>
    <t>1 groin; seawalls at east and west ends; recreational facilities; sand fencing; pocket beach with seawalls immediately adjacent to east and west with no sandy beaches</t>
  </si>
  <si>
    <t>Mecox Dunes Preserve</t>
  </si>
  <si>
    <t>private inholding(s)</t>
  </si>
  <si>
    <t>1 mile long buried seawall; beach fill; military training operations</t>
  </si>
  <si>
    <t>beach fill at north end; fishing pier; hard stabilization and beach fill to north in Sandbridge</t>
  </si>
  <si>
    <t>beach fill, seawall, geotube revetment, up to 47 groins, artificially closed inlet</t>
  </si>
  <si>
    <t>feral horses; ORV; artificial dune historically constructed along entire length, only portions may currently be maintained</t>
  </si>
  <si>
    <t>construction and maintenance of artificial dune along entire 2 mile length; feral horses; campground</t>
  </si>
  <si>
    <t>jetty and breakwaters at Ocean City Inlet at north end; beach fill/bypassing; feral horses; ORV; campground</t>
  </si>
  <si>
    <t>jetties at Indian River Inlet; beach fill north of inlet; ORV; beach scraping; sand fencing</t>
  </si>
  <si>
    <t>revetment, 19 breakwaters, military operations</t>
  </si>
  <si>
    <t>beach fill; 9 remnant groins; jetty at Cape May Inlet; military operations</t>
  </si>
  <si>
    <t>jetty at Cape May Inlet</t>
  </si>
  <si>
    <t>4 groins</t>
  </si>
  <si>
    <t>revetment/seawall on immediately adjacent private property; groins extending into inlet periodically submerged, exposed or buried; beach fill immediately to south</t>
  </si>
  <si>
    <t>beach fill taper from 2006 federal beach fill project in Brigantine extended 800 ft into natural area at south end; mining of Brigantine Inlet at north end for beach fill</t>
  </si>
  <si>
    <t>jetty on Barnegat Inlet at south end; historical beach fill (1955 &amp; 1962) in two areas of 2,500' and 3,500' length; sand fencing; ORV</t>
  </si>
  <si>
    <t>beach fill; 3 groins; revetment/seawall at south end; sand fencing; recreational facilities</t>
  </si>
  <si>
    <t>Length of Sandy Beachfront in Public / NGO Ownership in 2015 (miles)</t>
  </si>
  <si>
    <t>Maine</t>
  </si>
  <si>
    <t>New Hampshire</t>
  </si>
  <si>
    <t>Massachusetts</t>
  </si>
  <si>
    <t>Rhode Island</t>
  </si>
  <si>
    <t>Connecticut</t>
  </si>
  <si>
    <t>New York - Long Island Sound</t>
  </si>
  <si>
    <t>New York - Peconic Estuary</t>
  </si>
  <si>
    <t>New York - Atlantic Ocean</t>
  </si>
  <si>
    <t>New Jersey</t>
  </si>
  <si>
    <t>Delaware</t>
  </si>
  <si>
    <t>Maryland</t>
  </si>
  <si>
    <t>Virginia</t>
  </si>
  <si>
    <t>North Carolina</t>
  </si>
  <si>
    <t>ME</t>
  </si>
  <si>
    <t>Reid State Park</t>
  </si>
  <si>
    <t>Sagadahoc</t>
  </si>
  <si>
    <t>state of Maine</t>
  </si>
  <si>
    <t>ME DACF (2015)</t>
  </si>
  <si>
    <t>Popham Beach State Park</t>
  </si>
  <si>
    <t>Dickson (2011), ME DACF (2015)</t>
  </si>
  <si>
    <t>Bates-Morse Mountain Conservation Area</t>
  </si>
  <si>
    <t>Small Point Association owns Seawall Beach, the non-profit Bates-Morse Mountain Conservation Area Corporation owns the upland between the Sprague and Morse Rivers behind the beach; TNC has a conservation easement</t>
  </si>
  <si>
    <t>ME DACF (2015), http://www.bates.edu/harward/bmm/</t>
  </si>
  <si>
    <t>Small Point Preserve</t>
  </si>
  <si>
    <t>Maine Coast Heritage Trust</t>
  </si>
  <si>
    <t>conservation easement</t>
  </si>
  <si>
    <t>Upper Flag Island, Petit Menan NWR</t>
  </si>
  <si>
    <t>Cumberland</t>
  </si>
  <si>
    <t>Rose's Point, Chebeague Island</t>
  </si>
  <si>
    <t>Chebeague and Cumberland Land Trust</t>
  </si>
  <si>
    <t>private development adjacent to beach</t>
  </si>
  <si>
    <t>Higgins Farm, Chebeague Island</t>
  </si>
  <si>
    <t>Belvins Easement, Chebeague Island</t>
  </si>
  <si>
    <t>Indian Point, Chebeague Island</t>
  </si>
  <si>
    <t>road and private driveway adjacent to beach</t>
  </si>
  <si>
    <t>Curit Property, Chebeague Island</t>
  </si>
  <si>
    <t>passive park</t>
  </si>
  <si>
    <t>Andrews Beach</t>
  </si>
  <si>
    <t>Fort Williams State Park</t>
  </si>
  <si>
    <t>1 pocket &lt; 500 ft long</t>
  </si>
  <si>
    <t>Crescent Beach State Park</t>
  </si>
  <si>
    <t>large parking lots near beach; possible raking and removal of seaweed wrack or placement of wrack at foot of dunes for dune management</t>
  </si>
  <si>
    <t>Dickson (2009), ME DACF (2015)</t>
  </si>
  <si>
    <t>Scarborough WMA</t>
  </si>
  <si>
    <t>WMA</t>
  </si>
  <si>
    <t>Scarborough Beach State Park</t>
  </si>
  <si>
    <t xml:space="preserve">sand fencing </t>
  </si>
  <si>
    <t>Ferry Beach</t>
  </si>
  <si>
    <t>Town of Scarborough</t>
  </si>
  <si>
    <t>public beach</t>
  </si>
  <si>
    <t>private golf course surrounds the public beach / park; dredging of Scarborough River Inlet; jetty on west side of inlet</t>
  </si>
  <si>
    <t>Town of Scarborough (http://www.scarboroughmaine.org/departments/community-services/beaches)</t>
  </si>
  <si>
    <t>Pine Point Easements</t>
  </si>
  <si>
    <t>conservation easements</t>
  </si>
  <si>
    <t>private development (18 buildings) adjacent to beach; easements are on beach and dunes only; jetty at Scarborough Inlet to the east</t>
  </si>
  <si>
    <t>Hurd Park, Pine Point</t>
  </si>
  <si>
    <t>large parking lot; beach raking weekly in summer</t>
  </si>
  <si>
    <t>Old Orchard Beach</t>
  </si>
  <si>
    <t>York</t>
  </si>
  <si>
    <t>Town of Old Orchard Beach</t>
  </si>
  <si>
    <t>public beach only, no significant access parks or properties</t>
  </si>
  <si>
    <t>Peter Slovinsky, MGS, pers. communication, May 15, 2015</t>
  </si>
  <si>
    <t>Rachel Carson NWR, Goosefare Brook Division</t>
  </si>
  <si>
    <t>Ferry Beach State Park</t>
  </si>
  <si>
    <t>private development adjacent to north and south, with private bulkheads to the south</t>
  </si>
  <si>
    <t>Biddeford Pool Beach</t>
  </si>
  <si>
    <t>City of Biddeford</t>
  </si>
  <si>
    <t>bulkhead at parking lot</t>
  </si>
  <si>
    <t>City of Biddeford (http://www.biddefordmaine.org/)</t>
  </si>
  <si>
    <t>Fortune Rocks Beach</t>
  </si>
  <si>
    <t>Goose Rocks Beach</t>
  </si>
  <si>
    <t>City of Kennebunkport</t>
  </si>
  <si>
    <t>public beach (~3 miles) only, no significant access parks or properties</t>
  </si>
  <si>
    <t>Town of Kennebunkport (http://www.kennebunkportme.gov/Public_Documents/KennebunkportME_Depts/assessor2)</t>
  </si>
  <si>
    <t>Kennebunkport Conservation Trust</t>
  </si>
  <si>
    <t>bulkhead along Kings Highway; fragmentation (8 parcels) between the highway and the beach, owning dune only</t>
  </si>
  <si>
    <t>Rachel Carson NWR, Goose Rocks Division (Batson River Inlet)</t>
  </si>
  <si>
    <t>Vaughn's Island Preserve</t>
  </si>
  <si>
    <t>Colony Beach</t>
  </si>
  <si>
    <t>USACE</t>
  </si>
  <si>
    <t>jetty on Kennebunk River Inlet at west end; surrounded by private development</t>
  </si>
  <si>
    <t>Gooch's Beach</t>
  </si>
  <si>
    <t>Town of Kennebunk</t>
  </si>
  <si>
    <t>jetty on Kennebunk River Inlet at east end; bulkhead along nearly 100% of beach</t>
  </si>
  <si>
    <t>Kennebunk Beach (Middle Beach)</t>
  </si>
  <si>
    <t>Mother's Beach</t>
  </si>
  <si>
    <t>Strawberry Island</t>
  </si>
  <si>
    <t>Kennebunk Land Trust</t>
  </si>
  <si>
    <t>revetment on south side and private bulkheads on north side</t>
  </si>
  <si>
    <t>Rachel Carson NWR, Mousam River Division (Little River Inlet)</t>
  </si>
  <si>
    <t>Laudholm Farm, Wells NERR</t>
  </si>
  <si>
    <t>NERR</t>
  </si>
  <si>
    <t>Drake's Island Beach</t>
  </si>
  <si>
    <t>Town of Wells</t>
  </si>
  <si>
    <t>public beach only, no significant access parks or properties on the beach</t>
  </si>
  <si>
    <t>jetty at Wells Inlet; many private shoreline stabilization structures on back of beach</t>
  </si>
  <si>
    <t>Town of Wells (http://www.wellstown.org)</t>
  </si>
  <si>
    <t>Wells Beach</t>
  </si>
  <si>
    <t>Crescent Beach</t>
  </si>
  <si>
    <t>public beach (only public access with parking lot listed here)</t>
  </si>
  <si>
    <t>Ogunquit Beach</t>
  </si>
  <si>
    <t>Town of Ogunquit</t>
  </si>
  <si>
    <t>wastewater treatment plant; large parking lots; Norseman Resort building on the beach; revetment at Ogunquit River Inlet and adjacent shoreline</t>
  </si>
  <si>
    <t>Town of Ogunquit (http://www.townofogunquit.org/)</t>
  </si>
  <si>
    <t>Short Sands Beach, Ellis Park</t>
  </si>
  <si>
    <t>Town of York</t>
  </si>
  <si>
    <t>revetment along southern end; large parking lot at north end; concrete promenade along back of beach</t>
  </si>
  <si>
    <t>Town of York (http://www.yorkparksandrec.org/attractions/beaches)</t>
  </si>
  <si>
    <t>Long Sands Beach</t>
  </si>
  <si>
    <t>seawall / revetment along entire length along Long Beach Avenue which is directly adjacent to the beach, eliminating any dry beach in several areas</t>
  </si>
  <si>
    <t>Harbor Beach, Hartley Mason Park</t>
  </si>
  <si>
    <t>revetment along entire back of beach; recreational facilities</t>
  </si>
  <si>
    <t>Gerrish Island, Delano Easement</t>
  </si>
  <si>
    <t>NOTES:</t>
  </si>
  <si>
    <t>NH</t>
  </si>
  <si>
    <t>Great Island Common</t>
  </si>
  <si>
    <t>Rockingham</t>
  </si>
  <si>
    <t>Town of New Castle</t>
  </si>
  <si>
    <t>private development adjacent to north, park only owns land behind southern portion of pocket beach</t>
  </si>
  <si>
    <t>Crosby Easement</t>
  </si>
  <si>
    <t>Southeast Land Trust of NH ?</t>
  </si>
  <si>
    <t>seawall on beach of private development adjacent to the north</t>
  </si>
  <si>
    <t>Odiorne Point State Park</t>
  </si>
  <si>
    <t>state of NH</t>
  </si>
  <si>
    <t>fragmentation in 2 pocket beaches; breakwater at north end of northern pocket beach at Portsmouth Harbor; revetment (~660') along most of southern pocket along Ocean Blvd.</t>
  </si>
  <si>
    <t>Wallis Sands State Park</t>
  </si>
  <si>
    <t>2 groins, bulkhead/seawall along entire length of beach, beach fill, large parking lot, recreational facility building</t>
  </si>
  <si>
    <t>Foss Beach</t>
  </si>
  <si>
    <t>Town of Rye</t>
  </si>
  <si>
    <t>revetment and Ocean Blvd. immediately backing entire beach</t>
  </si>
  <si>
    <t>Rye Harbor State Park</t>
  </si>
  <si>
    <t>state park only owns very southern end of beach along Ocean Blvd north of Rye Harbor; revetment along Ocean Blvd to north</t>
  </si>
  <si>
    <t>Jenness Beach State Park</t>
  </si>
  <si>
    <t>public beach, park</t>
  </si>
  <si>
    <t>bulkhead / seawall along entire beach length; parking lot and road immediately adjacent to beach</t>
  </si>
  <si>
    <t>Sawyers Beach</t>
  </si>
  <si>
    <t>beach is on narrow spit fronting Eel Pond with Ocean Blvd. immediately adjacent to beach; revetments and seawalls on adjacent private property to north and south</t>
  </si>
  <si>
    <t>Bass Beach</t>
  </si>
  <si>
    <t>Town of North Hampton</t>
  </si>
  <si>
    <t>North Hampton State Park</t>
  </si>
  <si>
    <t>revetment and Ocean Blvd. immediately backing entire beach; parking lot along back of nearly the entire beach</t>
  </si>
  <si>
    <t>North Side Park</t>
  </si>
  <si>
    <t>Town of Hampton</t>
  </si>
  <si>
    <t>revetment along entire back of beach</t>
  </si>
  <si>
    <t>Hampton Beach State Park (North Beach)</t>
  </si>
  <si>
    <t>seawall / revetment and Ocean Blvd. immediately backing entire beach; 8 groins on sandy beach segments; total park shoreline ~1.48 miles but only 1.05 miles had beach in front of revetment in Nov. 2011; parking lot along northern half directly adjacent to seawall / revetment</t>
  </si>
  <si>
    <t>Hampton Beach State Park (south of Great Boars Head)</t>
  </si>
  <si>
    <t>federal beach fill / dredge disposal project from Haverhill Street north 6,450 ft; seawall / revetment and Ocean Blvd. immediately backing most of beach; 1 groin; jetty at south end at Hampton River Inlet; total park shoreline ~1.72 miles but 0.24 miles had no beach in front of seawall/ revetment at north end in Nov. 2011; parking lot along northern two-thirds directly adjacent to seawall / revetment; private development directly adjacent to beach along 0.20 miles near south end where beach may not be part of park; recreational facilities; wide dune field at South Beach immediately north of jetty</t>
  </si>
  <si>
    <t>Seabrook Dunes and Beach</t>
  </si>
  <si>
    <t>Town of Seabrook</t>
  </si>
  <si>
    <t>private bulkheads / seawalls along some private property adjacent to beach</t>
  </si>
  <si>
    <t>MA</t>
  </si>
  <si>
    <t>Salisbury Beach State Reservation</t>
  </si>
  <si>
    <t>Essex</t>
  </si>
  <si>
    <t>MA DCR</t>
  </si>
  <si>
    <t>private development directly adjacent to beach and dune for all but southernmost 0.70 miles, which is undeveloped; jetty and bulkhead at Merrimack River Inlet at south end; parking lots at south end</t>
  </si>
  <si>
    <t>MA CZM (2015a, 2015b)</t>
  </si>
  <si>
    <t>Plum Island Beach (The Point)</t>
  </si>
  <si>
    <t>City of Newburyport</t>
  </si>
  <si>
    <t>Merimack River Inlet jetty at north end; 1 groin; private development directly adjacent to beach and dune at south end</t>
  </si>
  <si>
    <t>Parker River NWR</t>
  </si>
  <si>
    <t>Sandy Point State Reservation</t>
  </si>
  <si>
    <t>Crane Estate</t>
  </si>
  <si>
    <t>The Trustees of Reservations</t>
  </si>
  <si>
    <t>historic estate, wildlife refuge, public beach</t>
  </si>
  <si>
    <t>1 groin at northwest end at Ipswich River mouth; a few parking lots set back from beach</t>
  </si>
  <si>
    <t>Wingaersheek Beach</t>
  </si>
  <si>
    <t>City of Gloucester</t>
  </si>
  <si>
    <t>large parking lot at northwest end</t>
  </si>
  <si>
    <t>Back Beach</t>
  </si>
  <si>
    <t>Town of Rockport</t>
  </si>
  <si>
    <t>-</t>
  </si>
  <si>
    <t>public beach (0.19 mi)</t>
  </si>
  <si>
    <t>revetment along entire beach</t>
  </si>
  <si>
    <t>Front Beach</t>
  </si>
  <si>
    <t>public beach (0.13 mi)</t>
  </si>
  <si>
    <t>bulkheads/seawalls along entire beach</t>
  </si>
  <si>
    <t>Pebble Beach</t>
  </si>
  <si>
    <t>public beach (0.23 mi)</t>
  </si>
  <si>
    <t>revetment (920')</t>
  </si>
  <si>
    <t>Cape Hedge Beach</t>
  </si>
  <si>
    <t>possible artificial dune protecting parking lot at southwest end</t>
  </si>
  <si>
    <t>Long Beach</t>
  </si>
  <si>
    <t>public beach (0.61 mi)</t>
  </si>
  <si>
    <t>Good Harbor Beach</t>
  </si>
  <si>
    <t>parking lot set well back</t>
  </si>
  <si>
    <t>Magnolia Beach</t>
  </si>
  <si>
    <t>Town of Manchester</t>
  </si>
  <si>
    <t>public beach (0.42 mi)</t>
  </si>
  <si>
    <t>bulkheads/seawalls (~0.32 mi)</t>
  </si>
  <si>
    <t>Black Beach</t>
  </si>
  <si>
    <t>public beach (0.31 mi)</t>
  </si>
  <si>
    <t>bulkhead/seawall and revetment (~0.14 mi)</t>
  </si>
  <si>
    <t>White Beach</t>
  </si>
  <si>
    <t>bulkhead/seawall and revetment along entire beach</t>
  </si>
  <si>
    <t>Singing Beach</t>
  </si>
  <si>
    <t>public beach (0.46 mi)</t>
  </si>
  <si>
    <t>revetment and bulkheads/seawalls along entire beach</t>
  </si>
  <si>
    <t>West Beach</t>
  </si>
  <si>
    <t>City of Beverly</t>
  </si>
  <si>
    <t>bulkheads/seawalls along entire beach; parking lot immediately adjacent to beach</t>
  </si>
  <si>
    <t>Mingo Beach</t>
  </si>
  <si>
    <t>public beach (0.10 mi)</t>
  </si>
  <si>
    <t>bulkheads/seawalls (~0.07 mi)</t>
  </si>
  <si>
    <t>Dane Street Beach</t>
  </si>
  <si>
    <t>bulkheads/seawalls (~0.16 mi); beach fill</t>
  </si>
  <si>
    <t>Independence Park</t>
  </si>
  <si>
    <t>bulkhead/seawall along entire beach; groin at south end</t>
  </si>
  <si>
    <t>Winter Island (Waikiki) Beach</t>
  </si>
  <si>
    <t>City of Salem</t>
  </si>
  <si>
    <t>bulkhead/seawall and revetment (~0.06 mi)</t>
  </si>
  <si>
    <t>Devereux Beach</t>
  </si>
  <si>
    <t>Town of Marblehead</t>
  </si>
  <si>
    <t>bulkhead/seawall along Ocean Ave. at east end (~0.06 mi); parking lots and recreational facilities</t>
  </si>
  <si>
    <t>Phillips Beach</t>
  </si>
  <si>
    <t>Town of Swampscott</t>
  </si>
  <si>
    <t>public beach (0.91 mi total length)</t>
  </si>
  <si>
    <t>private development with erosion control measures directly adjacent to beach at north and south ends</t>
  </si>
  <si>
    <t>Eisman's Beach</t>
  </si>
  <si>
    <t>park, public beach (0.20 mi total length)</t>
  </si>
  <si>
    <t>bulkheads/seawalls along entire length; private development directly adjacent to beach for eastern two-thirds</t>
  </si>
  <si>
    <t>Fisherman's Beach</t>
  </si>
  <si>
    <t>park, public beach (0.36 mi total length)</t>
  </si>
  <si>
    <t>bulkheads/seawalls along nearly entire length; groin at east end; private development directly adjacent to beach at east side</t>
  </si>
  <si>
    <t>Lynn Shore and Nahant Beach Reservations (King's Beach)</t>
  </si>
  <si>
    <t>public beaches</t>
  </si>
  <si>
    <t>bulkheads/seawalls and riprap along all but ~0.56 mi at Nahant Beach; beach fill; parking lots and roads immediately adjacent to beaches</t>
  </si>
  <si>
    <t>Short Beach</t>
  </si>
  <si>
    <t>Town of Nahant</t>
  </si>
  <si>
    <t>riprap revetment along entire beach length</t>
  </si>
  <si>
    <t>Tudor Beach</t>
  </si>
  <si>
    <t>public beach (0.22 mi)</t>
  </si>
  <si>
    <t>seawall along entire beach length</t>
  </si>
  <si>
    <t>Black Rock Beach</t>
  </si>
  <si>
    <t>riprap revetment (~0.14 mi) along northern end</t>
  </si>
  <si>
    <t>Revere Beach Reservation</t>
  </si>
  <si>
    <t>seawall along entire length; large parking lots and recreational facilities near southwest end; private and commercial development and road immediately adjacent to beach</t>
  </si>
  <si>
    <t>Short Beach, Winthrop Shores Reservation</t>
  </si>
  <si>
    <t>seawall along entire length; an additional 0.26 mi of seawall with no beach at north end</t>
  </si>
  <si>
    <t>Winthrop Beach, Winthrop Shores Reservation</t>
  </si>
  <si>
    <t>Yerrill Beach</t>
  </si>
  <si>
    <t>Town of Winthrop</t>
  </si>
  <si>
    <t>bulkheads/seawalls along all but southernmost ~0.15 mi</t>
  </si>
  <si>
    <t>Deer Island, Boston Harbors NRA</t>
  </si>
  <si>
    <t>Massachusetts Water Resources Authority</t>
  </si>
  <si>
    <t>NRA</t>
  </si>
  <si>
    <t>Long Island, Boston Harbors NRA</t>
  </si>
  <si>
    <t>City of Boston</t>
  </si>
  <si>
    <t>park, social services facilities, historic fort and lighthouse</t>
  </si>
  <si>
    <t>Rainsford Island, Boston Harbors NRA</t>
  </si>
  <si>
    <t>Quincy Shore Reservation (Wollaston Beach)</t>
  </si>
  <si>
    <t>Plymouth</t>
  </si>
  <si>
    <t>public beach (1.89 mi)</t>
  </si>
  <si>
    <t>seawall/bulkhead along nearly entire beach; 3 groins; beach fill; private property directly adjacent to most of beach</t>
  </si>
  <si>
    <t>Front (Heron) Beach</t>
  </si>
  <si>
    <t>City of Quincy</t>
  </si>
  <si>
    <t>seawall/bulkhead along entire length; 7 groins; private property directly adjacent to beach</t>
  </si>
  <si>
    <t>Perry (Parkhurst) Beach</t>
  </si>
  <si>
    <t>public beach (0.29 mi)</t>
  </si>
  <si>
    <t>3 seawalls/bulkheads line most of beach length; private property directly adjacent to beach</t>
  </si>
  <si>
    <t>Edgewater Beach</t>
  </si>
  <si>
    <t>public beach (0.59 mi)</t>
  </si>
  <si>
    <t>seawall/bulkhead along entire length; 4 groins; private property directly adjacent to beach</t>
  </si>
  <si>
    <t>Wessagusett Beach</t>
  </si>
  <si>
    <t>City of Weymouth</t>
  </si>
  <si>
    <t>public beach (0.17 mi)</t>
  </si>
  <si>
    <t>seawall/bulkhead along entire length; 3 groins; private property directly adjacent to beach</t>
  </si>
  <si>
    <t>George Lane Beach</t>
  </si>
  <si>
    <t>seawalls/bulkheads along most of beach length; 2 groins; private property directly adjacent to beach</t>
  </si>
  <si>
    <t>XYZ Beach</t>
  </si>
  <si>
    <t>Town of Hull</t>
  </si>
  <si>
    <t>public beach (0.77 mi)</t>
  </si>
  <si>
    <t>1 revetment and 7 seawalls/bulkheads along private property directly adjacent to beach (totalling ~0.26 mi)</t>
  </si>
  <si>
    <t>A Street Ocean Beach</t>
  </si>
  <si>
    <t>9 seawalls/bulkheads along private property directly adjacent to beach (totalling ~0.23 mi)</t>
  </si>
  <si>
    <t>Kenburma Beach</t>
  </si>
  <si>
    <t>public beach (0.41 mi)</t>
  </si>
  <si>
    <t>13 seawalls/bulkheads along private property directly adjacent to beach (totalling ~0.12 mi)</t>
  </si>
  <si>
    <t>Whitehead Beach</t>
  </si>
  <si>
    <t>9 seawalls/bulkheads along private property directly adjacent to beach (totalling ~0.11 mi)</t>
  </si>
  <si>
    <t>Nantasket Beach Reservation</t>
  </si>
  <si>
    <t>seawall/bulkhead along nearly entire beach; fragmented in several parcels; parking lots and road immediately adjacent to beach; recreational facilities</t>
  </si>
  <si>
    <t>Gunrock Beach</t>
  </si>
  <si>
    <t>seawalls/bulkheads along entire beach; private property and road directly adjacent to beach</t>
  </si>
  <si>
    <t>Sandy Beach</t>
  </si>
  <si>
    <t>Norfolk</t>
  </si>
  <si>
    <t>Town of Cohasset</t>
  </si>
  <si>
    <t>Sandy Cove Beach</t>
  </si>
  <si>
    <t>Bassing Beach</t>
  </si>
  <si>
    <t>Cohasset Conservation Trust</t>
  </si>
  <si>
    <t>breakwater at Cohasset Inlet; Cohasset Harbor Inlet is dredged by USACE</t>
  </si>
  <si>
    <t>Minot Beach</t>
  </si>
  <si>
    <t>Town of Scituate</t>
  </si>
  <si>
    <t>public beach (0.51 mi)</t>
  </si>
  <si>
    <t>seawalls along nearly entire beach; private property and road directly adjacent to beach</t>
  </si>
  <si>
    <t>private property with homes on the beach directly to north and south</t>
  </si>
  <si>
    <t>Sand Hills Beach</t>
  </si>
  <si>
    <t>public beach (0.15 mi)</t>
  </si>
  <si>
    <t>seawall/bulkhead along private property directly adjacent to entire beach</t>
  </si>
  <si>
    <t>Peggotty Beach</t>
  </si>
  <si>
    <t>public beach (0.14 mi)</t>
  </si>
  <si>
    <t>private development immediately adjacent to beach</t>
  </si>
  <si>
    <t>Conservation Park</t>
  </si>
  <si>
    <t>revetment directly to north</t>
  </si>
  <si>
    <t>Humarock Beach</t>
  </si>
  <si>
    <t>public beach (2.63 mi)</t>
  </si>
  <si>
    <t>private bulkheads/seawalls along most of beach; private development directly adjacent to beach</t>
  </si>
  <si>
    <t>Rexhame Beach</t>
  </si>
  <si>
    <t>Town of Marshfield</t>
  </si>
  <si>
    <t>park, public beach (total length 1.25 mi)</t>
  </si>
  <si>
    <t>Fieldston Beach</t>
  </si>
  <si>
    <t>public beach (1.20 mi)</t>
  </si>
  <si>
    <t>seawalls/bulkheads along private property directly adjacent to entire beach</t>
  </si>
  <si>
    <t>Brant Rock Beach</t>
  </si>
  <si>
    <t>public beach (0.33 mi)</t>
  </si>
  <si>
    <t>3 groins; seawalls/bulkheads along private property directly adjacent to nearly entire beach</t>
  </si>
  <si>
    <t>Green Harbor Beach</t>
  </si>
  <si>
    <t>jetty at Green Harbor Inlet; seawalls/bulkheads long private property directly adjacent to majority of beach</t>
  </si>
  <si>
    <t>Duxbury Beach</t>
  </si>
  <si>
    <t>Town of Duxbury, Duxbury Beach Reservation Inc.</t>
  </si>
  <si>
    <t>ORV; artificial dune/levee with vegetation plantings; sand fencing; some parking lots directly adjacent to beach</t>
  </si>
  <si>
    <t>Plymouth Long Beach</t>
  </si>
  <si>
    <t>Town of Plymouth</t>
  </si>
  <si>
    <t>White Horse Beach</t>
  </si>
  <si>
    <t>public beach (total length 1.05 mi)</t>
  </si>
  <si>
    <t>6 groins north of Beaver Dam Brook; seawalls/bulkheads along private property immediately adjacent to majority of beach; 2 revetments lining Beaver Dam Brook channel to ocean</t>
  </si>
  <si>
    <t>Manomet Beach</t>
  </si>
  <si>
    <t>Manomet Center for Conservation Sciences</t>
  </si>
  <si>
    <t>education and research center</t>
  </si>
  <si>
    <t>3 groins, revetment at base of bluff with no beach for most of it</t>
  </si>
  <si>
    <t>Ellisville Harbor State Park</t>
  </si>
  <si>
    <t>Shifting Lots Preserve</t>
  </si>
  <si>
    <t>Wildlands Trust of Southeastern Massachusetts</t>
  </si>
  <si>
    <t>Sagamore Beach</t>
  </si>
  <si>
    <t>Barnstable</t>
  </si>
  <si>
    <t>Town of Bourne</t>
  </si>
  <si>
    <t>public beach (1.38 mi)</t>
  </si>
  <si>
    <t>10 groins and 5 revetments/seawalls/bulkheads line 0.27 mi of beach; private development directly adjacent to beach on top of bluff</t>
  </si>
  <si>
    <t>Scusset Beach State Reservation</t>
  </si>
  <si>
    <t>jetty at Cape Cod Canal</t>
  </si>
  <si>
    <t>Town Neck (Horizons) Beach</t>
  </si>
  <si>
    <t>Town of Sandwich</t>
  </si>
  <si>
    <t>jetty at Cape Cod Canal; Town of Sandwich groin field overlaps southern end of beach; bulkhead at parking lot at south end</t>
  </si>
  <si>
    <t>Town Neck (Boardwalk) Beach</t>
  </si>
  <si>
    <t>4 groins; jetty at south end at Old Sandwich Harbor inlet</t>
  </si>
  <si>
    <t>East Sandwich Beach</t>
  </si>
  <si>
    <t>public beach (0.91 mi)</t>
  </si>
  <si>
    <t>7 groins; private development adjacent to beach</t>
  </si>
  <si>
    <t>Torrey Beach Community Association Beach</t>
  </si>
  <si>
    <t>semi-public beach</t>
  </si>
  <si>
    <t>jetty at Scorton Creek inlet at north end</t>
  </si>
  <si>
    <t>Longhill Beach</t>
  </si>
  <si>
    <t>semi-public beach (0.10 mi)</t>
  </si>
  <si>
    <t>Carltow Beach</t>
  </si>
  <si>
    <t>semi-public beach (0.12 mi)</t>
  </si>
  <si>
    <t>Sandy Neck</t>
  </si>
  <si>
    <t>Town of Barnstable</t>
  </si>
  <si>
    <t>Sandy Neck Colony of buildings and shoreline stabilization structures on bayside of Barnstable Harbor inlet shoreline at south end of park</t>
  </si>
  <si>
    <t>Chapin 4x4 Beach</t>
  </si>
  <si>
    <t>Chapin Memorial Beach</t>
  </si>
  <si>
    <t>Town of Dennis</t>
  </si>
  <si>
    <t>revetment at the beach terminus of Chapin Beach Road and along the beachfront of Dr Botero Road</t>
  </si>
  <si>
    <t>Mayflower Beach</t>
  </si>
  <si>
    <t>Corporation Beach</t>
  </si>
  <si>
    <t>groin, revetment and breakwater at west end</t>
  </si>
  <si>
    <t>Cold Storage Beach</t>
  </si>
  <si>
    <t>2 groins; jetty at west end at Sesuit Harbor</t>
  </si>
  <si>
    <t>Sea Street East Beach</t>
  </si>
  <si>
    <t>2 groins; private development set back from beach</t>
  </si>
  <si>
    <t>Crowes Beach</t>
  </si>
  <si>
    <t>park, semi-public beach</t>
  </si>
  <si>
    <t>Wing Island Beach</t>
  </si>
  <si>
    <t>Cape Cod Museum of Natural History</t>
  </si>
  <si>
    <t>Paines Creek Beach</t>
  </si>
  <si>
    <t>Town of Brewster</t>
  </si>
  <si>
    <t>2 groins and revetment connecting them at west end</t>
  </si>
  <si>
    <t>Brewster Park Sunhouse Beach</t>
  </si>
  <si>
    <t>public beach (0.11 mi)</t>
  </si>
  <si>
    <t>2 groins, one at each end of beach; private development adjacent to beach</t>
  </si>
  <si>
    <t>Sears Point Beach</t>
  </si>
  <si>
    <t>public beach (0.12 mi)</t>
  </si>
  <si>
    <t>2 groins; 2 revetments; sand fencing; private development adjacent to beach</t>
  </si>
  <si>
    <t>Breakwater Landing Beach</t>
  </si>
  <si>
    <t>public beach (total length 0.17 mi)</t>
  </si>
  <si>
    <t>2 revetments; 2 groins; private development adjacent to beach on west end, parking lot on east end</t>
  </si>
  <si>
    <t>King's Grant Beach</t>
  </si>
  <si>
    <t>public beach (0.08 mi)</t>
  </si>
  <si>
    <t>Pilgrim Pine Acres Beach</t>
  </si>
  <si>
    <t>Sea Pines Beach</t>
  </si>
  <si>
    <t>1 groin; 2 revetments; 1 bulkhead/seawall; private development adjacent to beach</t>
  </si>
  <si>
    <t>Ocean Edge Beach</t>
  </si>
  <si>
    <t>public beach (0.18 mi)</t>
  </si>
  <si>
    <t>Cape Cod Sea Camps Bay Beach</t>
  </si>
  <si>
    <t>recreational facilities adjacent to beach</t>
  </si>
  <si>
    <t>Spruce Hill Beach</t>
  </si>
  <si>
    <t>Quail Acres Beach</t>
  </si>
  <si>
    <t>public beach (0.05 mi)</t>
  </si>
  <si>
    <t>Nickerson State Park</t>
  </si>
  <si>
    <t>5 groins; inholding parcel at Crosby Landing with parking lot owned by Town of Brewster</t>
  </si>
  <si>
    <t>Skacket Beach Condos Beach</t>
  </si>
  <si>
    <t>revetment at southern end</t>
  </si>
  <si>
    <t>Skacket Beach</t>
  </si>
  <si>
    <t>private development on south side of road near beach</t>
  </si>
  <si>
    <t>Rock Harbor Beach</t>
  </si>
  <si>
    <t>Town of Orleans</t>
  </si>
  <si>
    <t>groin, boat ramp and parking lot at Rock Harbor inlet</t>
  </si>
  <si>
    <t>Dyer Prince Beach</t>
  </si>
  <si>
    <t>Town of Eastham</t>
  </si>
  <si>
    <t>groin at Rock Harbor inlet</t>
  </si>
  <si>
    <t>Boat Meadow Beach</t>
  </si>
  <si>
    <t>First Encounter Beach</t>
  </si>
  <si>
    <t>parking lot at north end directly adjacent to beach</t>
  </si>
  <si>
    <t>Bay View Road Beach</t>
  </si>
  <si>
    <t>semi-public beach (0.32 mi)</t>
  </si>
  <si>
    <t>Dunes Association &amp; Cranberry Cottages Beaches</t>
  </si>
  <si>
    <t>semi-public beach (total length 0.21 mi)</t>
  </si>
  <si>
    <t>revetment along entire Cranberry Cottages Beach; private development adjacent to beach</t>
  </si>
  <si>
    <t>Saltworks Association &amp; Sunken Meadow Beaches</t>
  </si>
  <si>
    <t>MA, Town of Eastham</t>
  </si>
  <si>
    <t>sand fencing; small parking lot directly adjacent to beach</t>
  </si>
  <si>
    <t>Wellfleet Bay Wildlife Sanctuary</t>
  </si>
  <si>
    <t>Mass Audubon</t>
  </si>
  <si>
    <t>MA Dept. of Fish and Game</t>
  </si>
  <si>
    <t>Indian Neck Beach</t>
  </si>
  <si>
    <t>Town of Wellfleet</t>
  </si>
  <si>
    <t>breakwater/jetty at Wellfleet Harbor (Duck Creek) Inlet</t>
  </si>
  <si>
    <t>Mayo (Kendrick) Beach</t>
  </si>
  <si>
    <t>1 groin; recreational facilities; town pier adjacent to east</t>
  </si>
  <si>
    <t>Town Landing Beach</t>
  </si>
  <si>
    <t>4 groins; 2 bulkheads/seawalls; private development adjacent to beach</t>
  </si>
  <si>
    <t>Cape Cod National Seashore</t>
  </si>
  <si>
    <t>asphalt revetment at Herring Cove; ORV; private inholdings adjacent to beach in several locations; public municipal beaches overlay some areas</t>
  </si>
  <si>
    <t>Corn Hill Beach</t>
  </si>
  <si>
    <t>Town of Truro</t>
  </si>
  <si>
    <t>large parking lot near beach</t>
  </si>
  <si>
    <t>Seasurf Beach</t>
  </si>
  <si>
    <t>semi-public beach (0.11 mi)</t>
  </si>
  <si>
    <t>private cottages with bulkhead/seawall along entire beach</t>
  </si>
  <si>
    <t>Day's Cottages Beach</t>
  </si>
  <si>
    <t>semi-public beach (0.16 mi)</t>
  </si>
  <si>
    <t>3 groins; private cottages with bulkhead/seawall along entire beach</t>
  </si>
  <si>
    <t>Pilgrim Beach</t>
  </si>
  <si>
    <t>4 groins; private development with nearly continuous bulkheads/seawalls directly adjacent to beach at south end</t>
  </si>
  <si>
    <t>Town Landing - Breakwater Beach</t>
  </si>
  <si>
    <t>Town of Provincetown</t>
  </si>
  <si>
    <t>public beach (0..27 mi)</t>
  </si>
  <si>
    <t>private development adjacent to beach; fragmented in 2 sections</t>
  </si>
  <si>
    <t>637 Commercial Street Beach</t>
  </si>
  <si>
    <t>5 groins; seawall/bulkhead along nearly entire length; private development directly adjacent to beach</t>
  </si>
  <si>
    <t>Kendal Lane Beach</t>
  </si>
  <si>
    <t>public beach (0.09 mi)</t>
  </si>
  <si>
    <t>2 groins; seawall/bulkhead along nearly entire length; private development directly adjacent to beach</t>
  </si>
  <si>
    <t>333 Commercial Street Beach</t>
  </si>
  <si>
    <t>bulkhead with piers and large parking lot directly adjacent to southwest; private development adjacent to beach</t>
  </si>
  <si>
    <t>Ryder Street Beach</t>
  </si>
  <si>
    <t>bulkhead with piers and large parking lot directly adjacent to northeast; private development adjacent to beach</t>
  </si>
  <si>
    <t>29 Commercial Street Beach</t>
  </si>
  <si>
    <t>2 bulkheads/seawalls; private development adjacent to beach; revetment in adajecent property to south with no beach</t>
  </si>
  <si>
    <t>Monomoy NWR</t>
  </si>
  <si>
    <t>Refuge also has sandy beaches on North Monomoy and Morris Islands that are not directly exposed and are excluded here</t>
  </si>
  <si>
    <t>Hardings Beach</t>
  </si>
  <si>
    <t>Town of Chatham</t>
  </si>
  <si>
    <t>dredging of Chatham (Stage) Harbor inlet at south end; may receive dredge spoil</t>
  </si>
  <si>
    <t>Ridgevale Beach</t>
  </si>
  <si>
    <t>terminal groin at Mill Creek Inlet; 8 other groins</t>
  </si>
  <si>
    <t>Pleasant Street Beach</t>
  </si>
  <si>
    <t>1 groin; contiguous with Tides Motel Beach</t>
  </si>
  <si>
    <t>Tides Motel Beach</t>
  </si>
  <si>
    <t>semi-public beach (0.07 mi)</t>
  </si>
  <si>
    <t>1 groin; contiguous with Pleasant Street Beach</t>
  </si>
  <si>
    <t>Red River Beach</t>
  </si>
  <si>
    <t>Town of Harwich</t>
  </si>
  <si>
    <t>9 groins; bulkhead/seawall along most of parking lot</t>
  </si>
  <si>
    <t>Merkel Beach (Snow Inn Road)</t>
  </si>
  <si>
    <t>breakwater for Wychmere Harbor at east end; private development set well back from beach</t>
  </si>
  <si>
    <t>Atlantic Avenue, Zylpha &amp; Wyndmere Bluffs Beaches</t>
  </si>
  <si>
    <t>public beaches (total length 0.14 mi)</t>
  </si>
  <si>
    <t>4 groins; revetment and private development adjacent to entire beach; 3 contiguous public beaches</t>
  </si>
  <si>
    <t>Allen Harbor Beach</t>
  </si>
  <si>
    <t>jetty at Doanes Creek (Allen Harbor) at east end</t>
  </si>
  <si>
    <t>Pleasant Road Beach</t>
  </si>
  <si>
    <t>groin at east end; large parking lot along half of beach</t>
  </si>
  <si>
    <t>Old Mill Point Association Beach</t>
  </si>
  <si>
    <t>semi-public beach (0.40 mi)</t>
  </si>
  <si>
    <t>jetty to Herring River at west end; 4 grpoms; private development adjacent to beach</t>
  </si>
  <si>
    <t>Sea Street Beach</t>
  </si>
  <si>
    <t>4 groins; revetment along parking lot for entire beach length</t>
  </si>
  <si>
    <t>South Village Beach</t>
  </si>
  <si>
    <t>jetty on Swan Pond River at east end; private development adjacent to beach</t>
  </si>
  <si>
    <t>West Dennis Beach</t>
  </si>
  <si>
    <t>Bass River Beach</t>
  </si>
  <si>
    <t>Town of Yarmouth</t>
  </si>
  <si>
    <t>jetty on Bass River inlet at east end; large parking lots adjacent to beach</t>
  </si>
  <si>
    <t>2 groins; revetment along entire beach; large parking lots adjacent to beach</t>
  </si>
  <si>
    <t>Great Island Ocean Club Beach</t>
  </si>
  <si>
    <t>public beach (0.26 mi)</t>
  </si>
  <si>
    <t>1 groin at east end; revetment at west end (445'); 1 bulkhead/seawall (78'); private development adjacent to beach</t>
  </si>
  <si>
    <t>Great Island (Yarmouth)</t>
  </si>
  <si>
    <t>Trustees of Reservations</t>
  </si>
  <si>
    <t>jetty to Lewis Bay (Hyannis Harbor) at east end; 1 groin at west end; large parking lots at west end</t>
  </si>
  <si>
    <t>Keyes Beach</t>
  </si>
  <si>
    <t>1 groin; another groin on private property adjacent to east; private property adjacent to beach at east end</t>
  </si>
  <si>
    <t>East (Town) Beach</t>
  </si>
  <si>
    <t>West Hyannipsort Beach Association Beach</t>
  </si>
  <si>
    <t>semi-public beach (0.56 mi)</t>
  </si>
  <si>
    <t>jetty at Halls Creek inlet at south end; private development adjacent to beach</t>
  </si>
  <si>
    <t>Covell's Beach</t>
  </si>
  <si>
    <t>parking lot along entire beach</t>
  </si>
  <si>
    <t>915 Craigville Road Beach</t>
  </si>
  <si>
    <t>private development adjacent to beach; contiguous with Craigville Beach</t>
  </si>
  <si>
    <t>Craigville Beach</t>
  </si>
  <si>
    <t>Craigville Beach Club Beach</t>
  </si>
  <si>
    <t>semi-public beach (0.06 mi)</t>
  </si>
  <si>
    <t>Dowses Beach</t>
  </si>
  <si>
    <t>jetty at northeast end at East Bay (Centerville River) inlet; revetment at south end; groins on adjacent property to south</t>
  </si>
  <si>
    <t>Dead Neck Island</t>
  </si>
  <si>
    <t>Three Bays Preservation</t>
  </si>
  <si>
    <t>jetty at east end on West Bay inlet; beach fill</t>
  </si>
  <si>
    <t>Sampson Island</t>
  </si>
  <si>
    <t>beach fill; dredging of Cotuit Bay Channel at west end to backpass sediment to Dead Neck Island to the east</t>
  </si>
  <si>
    <t>Town of Mashpee</t>
  </si>
  <si>
    <t>New Seabury Inn Beach</t>
  </si>
  <si>
    <t>semi-public beach (0.42 mi)</t>
  </si>
  <si>
    <t>private property adjacent to beach</t>
  </si>
  <si>
    <t>Maushup Village</t>
  </si>
  <si>
    <t>semi-public beach (0.14 mi)</t>
  </si>
  <si>
    <t>revetment along entire beach; private property adjacent to beach</t>
  </si>
  <si>
    <t>Waquoit Bay NERR (South Cape Beach State Park)</t>
  </si>
  <si>
    <t>state park, NERR</t>
  </si>
  <si>
    <t>Waquoit Bay NERR (Washburn Island)</t>
  </si>
  <si>
    <t>Menauhant Beach</t>
  </si>
  <si>
    <t>Town of Falmouth</t>
  </si>
  <si>
    <t>4 groins; revetment at west end; 2 jetties at Bournes Pond Inlet which is dredged annually; beach fill (dredge spoil) west of inlet; inlet artificially opened 1980s</t>
  </si>
  <si>
    <t>Acapesket Improvement Association Beach</t>
  </si>
  <si>
    <t>jetty at Green Pond Inlet at east end; groin at private property at west end; dredge disposal from inlet</t>
  </si>
  <si>
    <t>Bristol 1 Beach</t>
  </si>
  <si>
    <t>jetty at Great Pond inlet at east end; 2 groins; 1 bulkhead/seawall; 1 revetment at east end; dredge disposal from inlet; Menauhant Road directly adjacent to beach</t>
  </si>
  <si>
    <t>Bristol 2 Beach</t>
  </si>
  <si>
    <t>Little Pond Inlet with 2 jetties splits the beach; 1 groin and revetment on east side, 1 groin adjacent to west side; large parking lots adjacent to beach; inlet is dredged regularly, and has repeatedly been artificially opened following closure</t>
  </si>
  <si>
    <t>Falmouth Heights Beach</t>
  </si>
  <si>
    <t>Yacht Club &amp; Tides Hotel Beaches</t>
  </si>
  <si>
    <t>semi-public beaches (total length 0.11 mi)</t>
  </si>
  <si>
    <t xml:space="preserve">jetty at Falmouth Harbor inlet at east end; revetment along entire beach; private development adjacent to beach </t>
  </si>
  <si>
    <t>Surf Drive Beach</t>
  </si>
  <si>
    <t>FBBC &amp; Falmouth Associates - 564 Surf Drive Beaches</t>
  </si>
  <si>
    <t>semi-public beach (total 0.39 mi)</t>
  </si>
  <si>
    <t>7 groins; jetty at Salt Pond outlet at east end; remnant riprap near east end; Surf Drive / Beach Road directly adjacent to very narrow beach; revetment at southwest end</t>
  </si>
  <si>
    <t>Bikepath Beach</t>
  </si>
  <si>
    <t>semi-public beach (0.48 mi)</t>
  </si>
  <si>
    <t>2 revetments along the bike path (925', 535'); 2 jetties at Trunk River (Oyster Pond) inlet; inlet has been dredged; bike path directly adjacent to the beach</t>
  </si>
  <si>
    <t>Fay Road Beach</t>
  </si>
  <si>
    <t>3 groins; revetment at north end; private development adjacent to beach</t>
  </si>
  <si>
    <t>Nobska Beach Association Beach</t>
  </si>
  <si>
    <t>Church Street adjacent to beach; revetments on adjacent property to northwest and southeast</t>
  </si>
  <si>
    <t>Valley Road Beach</t>
  </si>
  <si>
    <t>semi-public beach (0.37 mi)</t>
  </si>
  <si>
    <t>revetment along Racing Beach Ave. directly adjacent to entire beach</t>
  </si>
  <si>
    <t>Seacoast Shores Associates, Inc. Beach</t>
  </si>
  <si>
    <t>semi-public beach (0.09 mi)</t>
  </si>
  <si>
    <t>revetment at north end; private development adjacent to beach</t>
  </si>
  <si>
    <t>Sippewissett Beach Trust Beach</t>
  </si>
  <si>
    <t>groin and revetment with 1 private property at south end; 1 groin at north end</t>
  </si>
  <si>
    <t>Wood Neck Beach</t>
  </si>
  <si>
    <t>1 groin at south end with Sippewissett Beach Trust Beach; 1 groin in center of parcel</t>
  </si>
  <si>
    <t>Saconessett Hills Association</t>
  </si>
  <si>
    <t>2 groins and revetment at north end; private development adjacent to beach</t>
  </si>
  <si>
    <t>Chapoquoit Beach</t>
  </si>
  <si>
    <t>revetment along parking lot and Chapoquoit Road at north half; recreational facilities adjacent to beach</t>
  </si>
  <si>
    <t>Chapoquoit Associates - Front Beach</t>
  </si>
  <si>
    <t>semi-public beach (0.19 mi)</t>
  </si>
  <si>
    <t>Little Island Beach Preserve</t>
  </si>
  <si>
    <t>Little Island Trust, Town of Falmouth</t>
  </si>
  <si>
    <t>Jetty Lane Beach</t>
  </si>
  <si>
    <t>1 groin; private development near beach</t>
  </si>
  <si>
    <t>Old Silver 2 Beach</t>
  </si>
  <si>
    <t>2 jetties at Herring Brook; 1 groin and large parking lots south of inlet; 1 seawall along parking lot north of inlet</t>
  </si>
  <si>
    <t>Seaquest Motel Beach</t>
  </si>
  <si>
    <t>semi-public beach (0.17 mi)</t>
  </si>
  <si>
    <t>1 groin at north end; private development with several revetments adjacent to beach</t>
  </si>
  <si>
    <t>Old Silver 1 Beach</t>
  </si>
  <si>
    <t>2 groins; private development with seawalls/bulkheads adjacent to beach</t>
  </si>
  <si>
    <t>Bayshore Homeowners Association Beahc</t>
  </si>
  <si>
    <t>semi-public beach (0.53 mi)</t>
  </si>
  <si>
    <t>4 groins; private development with several bulkheads/seawalls adjacent to beach</t>
  </si>
  <si>
    <t>Wild Harbor Beach</t>
  </si>
  <si>
    <t>2 groins; private development adjacent to beach</t>
  </si>
  <si>
    <t>New Silver Beach (Silver Beach Improvement Association)</t>
  </si>
  <si>
    <t>semi-public beach (0.21 mi)</t>
  </si>
  <si>
    <t>2 groins; jetty at Wild Harbor Boat Basin; private development with 3 sewalls/bulkheads adjacent to beach</t>
  </si>
  <si>
    <t>Megansett Beach</t>
  </si>
  <si>
    <t>breakwater at Megansett Harbor inlet; seawalls/bulkheads along parking lot and adjacent private property</t>
  </si>
  <si>
    <t>Wings Neck Trust Association North Beach</t>
  </si>
  <si>
    <t>3 groins</t>
  </si>
  <si>
    <t>Monument Beach</t>
  </si>
  <si>
    <t>pier with jetty and marina; 2 groins at boat ramp at south end; large parking lot; railroad adjacent to beach</t>
  </si>
  <si>
    <t>Mashnee Island Dike</t>
  </si>
  <si>
    <t>dike, dredge spoil site (historically)</t>
  </si>
  <si>
    <t>site of former inlet closed with dredge spoil from Cape Cod Canal; Mashnee Road causeway</t>
  </si>
  <si>
    <t>Stony Point Dike</t>
  </si>
  <si>
    <t>dike</t>
  </si>
  <si>
    <t>Little Harbor Beach</t>
  </si>
  <si>
    <t>Town of Wareham</t>
  </si>
  <si>
    <t>3 groins; large parking lot adjacent to beach at east end</t>
  </si>
  <si>
    <t>Swift's Beach</t>
  </si>
  <si>
    <t>Piney Point Beach</t>
  </si>
  <si>
    <t>revetment at north end; jetty to a pond outlet at south end; recreational facilities adjacent to beach at north end</t>
  </si>
  <si>
    <t>Planting Island Beach</t>
  </si>
  <si>
    <t>Town of Marion</t>
  </si>
  <si>
    <t>revetment along Island Road along entire beach; groins on adjacent private property to both southeast and northwest</t>
  </si>
  <si>
    <t>Silver Shell Beach</t>
  </si>
  <si>
    <t>public beach (total length 0.14 mi)</t>
  </si>
  <si>
    <t>2 groins; stone bulkhead/seawall along parking lot with no beach for 0.04 mi in April 2012 at south end</t>
  </si>
  <si>
    <t>Town of Mattapoisett</t>
  </si>
  <si>
    <t>bulkhead/seawall on private property adjacent to north</t>
  </si>
  <si>
    <t>Hollywoods Beach</t>
  </si>
  <si>
    <t>3 groins; boat ramp; revetment along entire beach</t>
  </si>
  <si>
    <t>Peases Point Beach</t>
  </si>
  <si>
    <t>semi-public beach (total length 0.22 mi)</t>
  </si>
  <si>
    <t>6 groins; revetment along entire beach; private property adjacent to beach at south end</t>
  </si>
  <si>
    <t>Bay Road Beach</t>
  </si>
  <si>
    <t>semi-public breach (total length 0.15 mi)</t>
  </si>
  <si>
    <t>1 groin; private property adjacent to beach at southwest end; revetment on adjacent property to southwest and northeast with no beaches in April 2012</t>
  </si>
  <si>
    <t>semi-public beach (0.20 mi)</t>
  </si>
  <si>
    <t>7 groins; 1 bulkhead/seawall; private property adjcent to beach</t>
  </si>
  <si>
    <t>Land Trust Reservation Beach</t>
  </si>
  <si>
    <t>MA, Mattapoisett Land Trust</t>
  </si>
  <si>
    <t>semi-public beach (total length 0.65 mi)</t>
  </si>
  <si>
    <t>revetment with no beach for 0.10 mi at northeast end; 2 groins; revetment south of Eel Pond inlet (99') near end of road loop; private property adjacent to beach in a few areas</t>
  </si>
  <si>
    <t>Mattapoisett Shores Association Beach</t>
  </si>
  <si>
    <t>7 groins; 1 revetment; 2 bulkheads/seawalls; private development adjacent to beach</t>
  </si>
  <si>
    <t>Antasawomak Beach</t>
  </si>
  <si>
    <t>public beach (total length 0.55 mi)</t>
  </si>
  <si>
    <t>4 revetments; 1 bulkhead/seawall; 5 groins; private development adjacent to central part of beach</t>
  </si>
  <si>
    <t>Howard Beach</t>
  </si>
  <si>
    <t>Brant Beach</t>
  </si>
  <si>
    <t>semi-public beach (0.31 mi)</t>
  </si>
  <si>
    <t>9 groins; stone revetment or concrete bulkhead/seawall along nearly entire shoreline, most of which has no beach in April 2012; private development adjacent to beach</t>
  </si>
  <si>
    <t>West Island State  Reservation</t>
  </si>
  <si>
    <t>Bristol</t>
  </si>
  <si>
    <t>West Island Town Beach</t>
  </si>
  <si>
    <t>Town of Fairhaven</t>
  </si>
  <si>
    <t>private property with groins adjacent to northwest boundary</t>
  </si>
  <si>
    <t>Winseganett Beaches</t>
  </si>
  <si>
    <t>Fairhaven Acushnet Land Preservation Trust</t>
  </si>
  <si>
    <t>private property with groins adjacent to north boundary</t>
  </si>
  <si>
    <t>Manhattan Avenue Beach</t>
  </si>
  <si>
    <t>Fort Phoneix State Reservation</t>
  </si>
  <si>
    <t>park, public beach (total length 0.56 mi)</t>
  </si>
  <si>
    <t>3 groins; seawall/bulkhead along west parking lot; recreational facilities; west end at Fort is rocky shore</t>
  </si>
  <si>
    <t>O'Tools Extension, O'Tools, Tower 1-4 Beaches</t>
  </si>
  <si>
    <t>Town of New Bedford</t>
  </si>
  <si>
    <t>5 groins that compartmentalize beach sections; bulkhead/seawall along E Rodney French Blvd along all beaches; road and private development or parking lots adjacent to beach</t>
  </si>
  <si>
    <t>Tabor Beaches</t>
  </si>
  <si>
    <t>6 groins</t>
  </si>
  <si>
    <t>J Beach, 400 North and Kids Beaches</t>
  </si>
  <si>
    <t>3 groins; concrete seawall/bulkhead along W Rodney French  Blvd directly adjacent to beaches</t>
  </si>
  <si>
    <t>Jones Town Beach</t>
  </si>
  <si>
    <t>Town of Dartmouth</t>
  </si>
  <si>
    <t>Anthony's Beach</t>
  </si>
  <si>
    <t>private development with bulkheads/seawalls along northeast end; recreational facilities and bulkhead/seawall along south end</t>
  </si>
  <si>
    <t>Round Hill Condos Beach</t>
  </si>
  <si>
    <t>3 groins; boat ramp; bulkhead/seawall at parking lot</t>
  </si>
  <si>
    <t>Round Hill Beach</t>
  </si>
  <si>
    <t>5 sections of revetment</t>
  </si>
  <si>
    <t>Salter's Point South Beach</t>
  </si>
  <si>
    <t>1 groin</t>
  </si>
  <si>
    <t>Mishaum Beach</t>
  </si>
  <si>
    <t>Demarest Lloyd State Park</t>
  </si>
  <si>
    <t>portions of beach may have more cobbles than sand</t>
  </si>
  <si>
    <t>East Beach</t>
  </si>
  <si>
    <t>Town of Westport</t>
  </si>
  <si>
    <t>Horseneck Beach State Reservation</t>
  </si>
  <si>
    <t>Baker's Beach</t>
  </si>
  <si>
    <t>Beach Avenue Beach</t>
  </si>
  <si>
    <t>Elephant Beach</t>
  </si>
  <si>
    <t>1 revetment (132') near west end; Atlantic Avenue adjacent to beach</t>
  </si>
  <si>
    <t>Coatue Preserve</t>
  </si>
  <si>
    <t>Nantucket</t>
  </si>
  <si>
    <t>Nantucket Conservation Foundation</t>
  </si>
  <si>
    <t>jetty at Nantucket Harbor inlet at southwest end; ORV; a few private inholdings</t>
  </si>
  <si>
    <t>Coskata - Coatue Wildlife Refuge</t>
  </si>
  <si>
    <t>ORV; a few private inholdings; stone revetment on southeast end by small pond</t>
  </si>
  <si>
    <t>Nantucket NWR</t>
  </si>
  <si>
    <t xml:space="preserve">The Haulover </t>
  </si>
  <si>
    <t>stone revetment at northwest end by small pond</t>
  </si>
  <si>
    <t>Squam Pond</t>
  </si>
  <si>
    <t>Sesechacha Heathlands Wildlife Sanctuary</t>
  </si>
  <si>
    <t>Town of Nantucket</t>
  </si>
  <si>
    <t>open space</t>
  </si>
  <si>
    <t>Town of Nantucket, Nantucket Islands Land Bank</t>
  </si>
  <si>
    <t>military station</t>
  </si>
  <si>
    <t>USFWS has proposed acquisition of the property for the Nantucket NWR</t>
  </si>
  <si>
    <t>Tom Nevers Beach</t>
  </si>
  <si>
    <t>2 adjacent beachfront parcels owned by Town and Land Bank but privately owned parcels directly adjacent on back portion of beach (4 owned by Nantucket Conservation Foundation)</t>
  </si>
  <si>
    <t>Nantucket Islands Land Bank</t>
  </si>
  <si>
    <t>Nantucket Fairgrounds adjacent to beach</t>
  </si>
  <si>
    <t>South Shore beach tract</t>
  </si>
  <si>
    <t>Madequecham &amp; Tom Nevers Preserve</t>
  </si>
  <si>
    <t>Surfside Beach</t>
  </si>
  <si>
    <t>Surfside 2 Beach</t>
  </si>
  <si>
    <t>airport adjacent to beach</t>
  </si>
  <si>
    <t>sewage treatment plant adjacent to beach</t>
  </si>
  <si>
    <t>Reedy Pond beach tracts</t>
  </si>
  <si>
    <t>Nantucket Conservation Foundation, Town of Nantucket, Nantucket Islands Land Bank</t>
  </si>
  <si>
    <t>7 adjacent tracts</t>
  </si>
  <si>
    <t>Cisco Beach</t>
  </si>
  <si>
    <t>Head of the Plains</t>
  </si>
  <si>
    <t>Nantucket Conservation Foundation, Madaket Conservation Land Trust</t>
  </si>
  <si>
    <t>fragmented into 2 sections of beach fronting Sheep Pond and White Goose Cove</t>
  </si>
  <si>
    <t>Smith Point / Esther Island</t>
  </si>
  <si>
    <t>Mass Audubon, Town of Nantucket, Nantucket Islands Land Bank, Nantucket County</t>
  </si>
  <si>
    <t>Little Neck tract</t>
  </si>
  <si>
    <t>total length is 0.53 miles but sandy beach is only present at the north end in April 2012</t>
  </si>
  <si>
    <t>Warren's Landing tract</t>
  </si>
  <si>
    <t>historical ditching of salt marsh behind beach</t>
  </si>
  <si>
    <t>Warren's Landing Beach</t>
  </si>
  <si>
    <t>Eel Point Preserve</t>
  </si>
  <si>
    <t>Dionis Beach</t>
  </si>
  <si>
    <t>bulkhead/seawall protruding onto beach on private property adjacent to the west</t>
  </si>
  <si>
    <t>Washing Pond Beach</t>
  </si>
  <si>
    <t>contiguous to Capaum Pond parcel to west</t>
  </si>
  <si>
    <t>Muskeget Island</t>
  </si>
  <si>
    <t>nature preserve, conservation easement</t>
  </si>
  <si>
    <t>west part of island owned by Land Bank; conservation easement on the remaining private portion; USFWS has proposed acquisition of the island as part of the Nantucket NWR CCP</t>
  </si>
  <si>
    <t>Chappy Beach Club beach</t>
  </si>
  <si>
    <t>Dukes</t>
  </si>
  <si>
    <t>Cape Poge Wildlife Refuge (East Beach)</t>
  </si>
  <si>
    <t>Trustees of Reservations, Town of Edgartown</t>
  </si>
  <si>
    <t>wildlife refuge</t>
  </si>
  <si>
    <t>2 groins near small parcel owned by Town of Edgartown; 3 sections of beach separated by private inholdings; ORV</t>
  </si>
  <si>
    <t>Cape Poge Light</t>
  </si>
  <si>
    <t>lighthouse</t>
  </si>
  <si>
    <t>Trustees of Reservations, Commonwealth of MA</t>
  </si>
  <si>
    <t>Wasque Point</t>
  </si>
  <si>
    <t>Trustees of Reservations, Dukes County</t>
  </si>
  <si>
    <t>Norton Point Beach</t>
  </si>
  <si>
    <t>MA, Town of Edgartown</t>
  </si>
  <si>
    <t>Long Point Wildlife Refuge</t>
  </si>
  <si>
    <t>Lucy Vincent Beach</t>
  </si>
  <si>
    <t>Town of Chilmark</t>
  </si>
  <si>
    <t>Squibnocket Beach</t>
  </si>
  <si>
    <t>Vineyard Open Land Foundation, Town of Chilmark</t>
  </si>
  <si>
    <t>1 groin; revetment (473') along Squibnocket Road; short revetment (33') at south end; private development adjacent to some parts of beach</t>
  </si>
  <si>
    <t>Squibnocket Pond</t>
  </si>
  <si>
    <t>Vineyard Open Land Foundation</t>
  </si>
  <si>
    <t>Vineyard Conservation Society</t>
  </si>
  <si>
    <t>3 adjacent parcels off Moshup Trail northwest of Squibnocket Pond</t>
  </si>
  <si>
    <t>Moshup Beach</t>
  </si>
  <si>
    <t>Town of Aquinnah, Martha's Vineyard Land Bank Commission</t>
  </si>
  <si>
    <t>private property adjacent to north shore beach; beach sediment supply is from coastal banks (bluffs) eroding, so beaches periodically have glacial boulders and landslides blocking beach</t>
  </si>
  <si>
    <t>Lobsterville Beach</t>
  </si>
  <si>
    <t>Sheriff's Meadow Foundation</t>
  </si>
  <si>
    <t>Town of Aquinnah or Wampanoag Tribe of Gay Head (Aquinnah)</t>
  </si>
  <si>
    <t>jetty at Menemsha Creek kinlet at northeast end; private property adjacent to some portions of beach; NOTE THAT MORIS DATA LAYER FOR PUBLIC BEACHES LISTS LOBSTERVILLE BEACH AS 3.03 MILES LONG, BUT DUKES COUNTY TAX PARCEL MAPS DO NOT AGREE AND HAVE LENGTHS LISTED HERE</t>
  </si>
  <si>
    <t>Menemsha Beach</t>
  </si>
  <si>
    <t>2 groins; 1 jetty at Menemsha Creek inlet at southwest end; bulkhead/seawall fronting parking lot at south end</t>
  </si>
  <si>
    <t>Menemsha Hills Reservation</t>
  </si>
  <si>
    <t>Trustees of Reservations, Mass. Farm &amp; Conservation</t>
  </si>
  <si>
    <t>Martha's Vineyard Land Bank Commission</t>
  </si>
  <si>
    <t>Cedar Tree Neck Sanctuary</t>
  </si>
  <si>
    <t>Lambert's Cove Beach</t>
  </si>
  <si>
    <t>Town of West Tisbury</t>
  </si>
  <si>
    <t>Eastville Point Beach</t>
  </si>
  <si>
    <t>Dukes County, Town of Oak Bluffs</t>
  </si>
  <si>
    <t>jetty at Lagoon Pond inlet at west end</t>
  </si>
  <si>
    <t>Town of Oak Bluffs</t>
  </si>
  <si>
    <t>jetty at Oak Bluffs Harbor Inlet at south end</t>
  </si>
  <si>
    <t>Joseph Sylvia State Beach</t>
  </si>
  <si>
    <t>Dukes County, Commonwealth of MA</t>
  </si>
  <si>
    <t>4 jetties; 7 groins; beach fill; Beach Road adjacent to beach</t>
  </si>
  <si>
    <t>Sheriff's Meadow Foundation, Town of Edgartown</t>
  </si>
  <si>
    <t>Gosnold WMA (Cuttyhunk Island)</t>
  </si>
  <si>
    <t>Noman's Land Island NWR</t>
  </si>
  <si>
    <t>RI</t>
  </si>
  <si>
    <t>Goosewing Beach Preserve</t>
  </si>
  <si>
    <t>Newport</t>
  </si>
  <si>
    <t>Tunipus Pond / South Shore Beach</t>
  </si>
  <si>
    <t>Town of Little Compton</t>
  </si>
  <si>
    <t>ORV, possible artificial dune at parking area</t>
  </si>
  <si>
    <t>TNC, Little Compton Agricultural Conservancy Trust</t>
  </si>
  <si>
    <t>unpaved parking area at northeast end</t>
  </si>
  <si>
    <t>Sakonnet Point Easement</t>
  </si>
  <si>
    <t>bulkhead / seawall at northwest end</t>
  </si>
  <si>
    <t>Third Beach Easement</t>
  </si>
  <si>
    <t>state of RI</t>
  </si>
  <si>
    <t>Navy Beach (Third Beach)</t>
  </si>
  <si>
    <t>Town of Middletown</t>
  </si>
  <si>
    <t>parking lot and concrete boat ramp with revetments at south end</t>
  </si>
  <si>
    <t>Sachuest Point NWR</t>
  </si>
  <si>
    <t>Second Beach</t>
  </si>
  <si>
    <t>Town of Middletown, NPS, RIDEM</t>
  </si>
  <si>
    <t>bulkhead/seawall at western end parking lot; large parking lot and sand fencing at east end</t>
  </si>
  <si>
    <t>Atlantic Beach</t>
  </si>
  <si>
    <t>bulkheads/seawalls along entire beach length; private development directly adjacent to beach at east end, large parking lot in central area, revetment on Easton Pond Inlet shoreline at west end</t>
  </si>
  <si>
    <t>First Beach / Eastons Beach</t>
  </si>
  <si>
    <t>City of Newport, NPS, RIDEM</t>
  </si>
  <si>
    <t>bulkheads/seawalls along entire beach length; beach scraping and/or raking; very large parking lots and recreational facilities directly adjacent to beach at all but west end</t>
  </si>
  <si>
    <t>Mackerel Cove Town Beach</t>
  </si>
  <si>
    <t>Town of Jamestown</t>
  </si>
  <si>
    <t>Kelly Beach</t>
  </si>
  <si>
    <t>Washington</t>
  </si>
  <si>
    <t>Bonnet Shores Land Trust</t>
  </si>
  <si>
    <t>public access / beach</t>
  </si>
  <si>
    <t>Wesquage Pond Inlet is manually breached up to twice a year when natural breaches do not occur</t>
  </si>
  <si>
    <t>Whale Rock</t>
  </si>
  <si>
    <t>TNC, RI DEM</t>
  </si>
  <si>
    <t>note beach grades into gravelly till at the south end</t>
  </si>
  <si>
    <t>Narragansett Town Beach</t>
  </si>
  <si>
    <t>Town of Narragansett</t>
  </si>
  <si>
    <t>sand fencing; beach cabanas and pavilions development; large parking lots immediately adjacent to beach; seawall/bulkhead</t>
  </si>
  <si>
    <t>Scarborough State Beach</t>
  </si>
  <si>
    <t>3 groins; bulkhead/seawall along recreational facilities; large parking lots; seawall/bulkhead and revetment at northeast end</t>
  </si>
  <si>
    <t>state of RI (DFW)</t>
  </si>
  <si>
    <t>park, historic site (lighthouse)</t>
  </si>
  <si>
    <t>DiMeo / Noel</t>
  </si>
  <si>
    <t>wildlife area</t>
  </si>
  <si>
    <t>Roger Wheeler State Beach</t>
  </si>
  <si>
    <t>5 groins; beach fill; beach raking; sand fencing; large parking lots and recreational facilities directly adjacent to beach</t>
  </si>
  <si>
    <t>Salty Brine State Beach</t>
  </si>
  <si>
    <t>Point Judith Harbor jetty at west side; sand fencing; parking lot directly adjacent to beach</t>
  </si>
  <si>
    <t>East Matunuck State Beach</t>
  </si>
  <si>
    <t>sand fencing; parking lots and recreational facilities</t>
  </si>
  <si>
    <t>Deep Hole</t>
  </si>
  <si>
    <t>fishing access</t>
  </si>
  <si>
    <t>Weeden Farm / South Kingstown Town Beach</t>
  </si>
  <si>
    <t>state of RI, NPS, RIDEM</t>
  </si>
  <si>
    <t>Trustom Pond NWR</t>
  </si>
  <si>
    <t>artificial breaches of Cards and Trustom Ponds annually; 1 inholding home at end of Moonstone Beach Rd</t>
  </si>
  <si>
    <t>Goose Island Access</t>
  </si>
  <si>
    <t>Charlestown Beach Road parcels</t>
  </si>
  <si>
    <t>South Kingstown Land Trust, Town of South Kingstown</t>
  </si>
  <si>
    <t>fragmented into 5 parcels, 4 owned by South Kingstown Land Trust, 1 by Town of South Kingstown</t>
  </si>
  <si>
    <t>Charlestown Beach Road parcel</t>
  </si>
  <si>
    <t>Town of South Kingstown</t>
  </si>
  <si>
    <t>1 narrow parcel between private development to east and west</t>
  </si>
  <si>
    <t>Charlestown Beach</t>
  </si>
  <si>
    <t>Town of Charlestown</t>
  </si>
  <si>
    <t>Charlestown Beach parcels</t>
  </si>
  <si>
    <t>South County Conservancy, Town of Charlestown</t>
  </si>
  <si>
    <t>fragmented into 3 parcels, 1 owned by South County Conservancy and 2 by Town of Charlestown</t>
  </si>
  <si>
    <t>Charlestown Breachway Campground</t>
  </si>
  <si>
    <t>park, campground</t>
  </si>
  <si>
    <t>jetty at Charlestown Breachway at west boundary</t>
  </si>
  <si>
    <t>Charlestown Breachway Fishing Area</t>
  </si>
  <si>
    <t>jetty at Charlestown Breachway at east boundary</t>
  </si>
  <si>
    <t>Arnolda Easements</t>
  </si>
  <si>
    <t>10 parcels with 3 inholdings fragmenting them</t>
  </si>
  <si>
    <t>Ninigret NWR</t>
  </si>
  <si>
    <t>Governor Island State Park</t>
  </si>
  <si>
    <t>Ninigret Conservation Area</t>
  </si>
  <si>
    <t>conservation area</t>
  </si>
  <si>
    <t>Blue Shutters Site</t>
  </si>
  <si>
    <t>Town of Charlestown, RIDEM</t>
  </si>
  <si>
    <t>recreation easement</t>
  </si>
  <si>
    <t>Quonchontaug Easements</t>
  </si>
  <si>
    <t>private development with revetments both to northeast and southwest</t>
  </si>
  <si>
    <t>Quonny Beach</t>
  </si>
  <si>
    <t>South County Conservancy</t>
  </si>
  <si>
    <t>Quonchontaug Breachway Fishing Area</t>
  </si>
  <si>
    <t>dual jetties and Quonchontaug Breachway splits the fishing area into 2 parcels; ORV on western parcel</t>
  </si>
  <si>
    <t>Sand Trail Beach</t>
  </si>
  <si>
    <t>Nopes Island Conservation Association, Shelter Harbor Fire District, Weekapaug Fire District, Weekapaug Foundation for Conservation</t>
  </si>
  <si>
    <t>ORV; 9 parcels with fragmentation between some</t>
  </si>
  <si>
    <t>Wawaloam Drive Beach</t>
  </si>
  <si>
    <t>Weekapaug Fire District</t>
  </si>
  <si>
    <t>Weekapaug Breachway jetty on west side</t>
  </si>
  <si>
    <t>Weekapaug Fishing Area / Breachway</t>
  </si>
  <si>
    <t>very narrow parcel along western jetty of Weekapaug Breachway</t>
  </si>
  <si>
    <t>Town Beach</t>
  </si>
  <si>
    <t>Town of Westerly</t>
  </si>
  <si>
    <t>beach fill; sand fencing; large parking lot and recreation facility directly adjacent to beach</t>
  </si>
  <si>
    <t>Town of Westerly, RIDEM</t>
  </si>
  <si>
    <t>Misquamicut State Beach</t>
  </si>
  <si>
    <t>very large parking lots and recreational facilities adjacent to beach; (artificial dunes post-Sandy)</t>
  </si>
  <si>
    <t>Misquamicut Fire District</t>
  </si>
  <si>
    <t>beach fill, sand fencing, dune construction and maintenace, parking lots; 6+ parcels, some contiguous and others not</t>
  </si>
  <si>
    <t>Fort Road Beach, Watch Hill</t>
  </si>
  <si>
    <t>Watch Hill Fire District</t>
  </si>
  <si>
    <t>Napatree Point</t>
  </si>
  <si>
    <t>Watch Hill Fire District, Town of Westerly, state of RI (DFW), Watch Hill Conservancy</t>
  </si>
  <si>
    <t>groin at east boundary; 9 parcels with 5 inholdings fragmenting the spit</t>
  </si>
  <si>
    <t>Sandy Point Island</t>
  </si>
  <si>
    <t>Avalonia Land Conservancy, Inc.</t>
  </si>
  <si>
    <t>Singer / Ocean View</t>
  </si>
  <si>
    <t>Block Island Land Trust</t>
  </si>
  <si>
    <t>Spring Pond</t>
  </si>
  <si>
    <t>Town of New Shoreham</t>
  </si>
  <si>
    <t>groin at south boundary</t>
  </si>
  <si>
    <t>Green Hill Cove</t>
  </si>
  <si>
    <t>Mohegan Bluff / Delia Easement</t>
  </si>
  <si>
    <t>Southeast Light</t>
  </si>
  <si>
    <t>Southeast Lighthouse Foundation</t>
  </si>
  <si>
    <t>historic lighthouse</t>
  </si>
  <si>
    <t>Phelan Tract</t>
  </si>
  <si>
    <t>Mohegan Bluff</t>
  </si>
  <si>
    <t>Town of New Shoreham, NPS, Block Island Land Trust, TNC, Block Island Conservancy</t>
  </si>
  <si>
    <t>Davis &amp; Sugden (Black Rock) Tracts</t>
  </si>
  <si>
    <t>TNC, Block Island Land Trust</t>
  </si>
  <si>
    <t>2 contiguous parcels owned by TNC with BILT having an easement on the eastern (Davis) tract</t>
  </si>
  <si>
    <t>Black Rock</t>
  </si>
  <si>
    <t>TNC, Block Island Land Trust, state of RI, Town of New Shoreham</t>
  </si>
  <si>
    <t>nature preserve, conservation easements</t>
  </si>
  <si>
    <t>Lewis-Dickens Farm</t>
  </si>
  <si>
    <t>Audubon Society of RI</t>
  </si>
  <si>
    <t>Schooner Point</t>
  </si>
  <si>
    <t>Cooneymus Swamp Easement</t>
  </si>
  <si>
    <t>Stevens Cove Easement</t>
  </si>
  <si>
    <t>Block Island Conservancy</t>
  </si>
  <si>
    <t>Ocean View / Cullinan Easement</t>
  </si>
  <si>
    <t>Charleston Beach</t>
  </si>
  <si>
    <t>contiguous with Town parcel adjacent to jetty</t>
  </si>
  <si>
    <t>southwest jetty to Great Salt Pond Inlet</t>
  </si>
  <si>
    <t>Block Island NWR</t>
  </si>
  <si>
    <t>Gunners Hill</t>
  </si>
  <si>
    <t>Sachem Pond</t>
  </si>
  <si>
    <t>Beach Plum Hill / Logwood Cove</t>
  </si>
  <si>
    <t>Town of New Shoreham, USFWS</t>
  </si>
  <si>
    <t>USFWS has an easement on this municipal property</t>
  </si>
  <si>
    <t>North Light</t>
  </si>
  <si>
    <t>White Tract</t>
  </si>
  <si>
    <t>Risom Tracts</t>
  </si>
  <si>
    <t>park, conservation easement</t>
  </si>
  <si>
    <t>2 adjacent tracts with conservation easement on north tract and ownership of south tract</t>
  </si>
  <si>
    <t>Clay Head Swamp (Lapham) Easement</t>
  </si>
  <si>
    <t>Mansion Beach</t>
  </si>
  <si>
    <t>CT</t>
  </si>
  <si>
    <t>Sandy Point</t>
  </si>
  <si>
    <t>New London</t>
  </si>
  <si>
    <t>Avalonia Land Conservancy</t>
  </si>
  <si>
    <t>dredging of unnamed inlet adjacent to northwest</t>
  </si>
  <si>
    <t>Ram Point</t>
  </si>
  <si>
    <t>access through private property</t>
  </si>
  <si>
    <t>Esker Point Beach</t>
  </si>
  <si>
    <t>Town of Groton</t>
  </si>
  <si>
    <t>Bluff Point State Park &amp; Coastal Reserve</t>
  </si>
  <si>
    <t>state of CT</t>
  </si>
  <si>
    <t>3 pocket sandy beaches separated by rocky or vegetated shorelines</t>
  </si>
  <si>
    <t>Eastern Point Beach</t>
  </si>
  <si>
    <t>public beach (residents only)</t>
  </si>
  <si>
    <t>Ocean Beach Park</t>
  </si>
  <si>
    <t>Town of New London</t>
  </si>
  <si>
    <t>Waterford Beach Park</t>
  </si>
  <si>
    <t>Town of Waterford</t>
  </si>
  <si>
    <t>Harkness Memorial State Park</t>
  </si>
  <si>
    <t>Jordan Cove Water Access</t>
  </si>
  <si>
    <t>public access site</t>
  </si>
  <si>
    <t>McCook Point Park</t>
  </si>
  <si>
    <t>Town of East Lyme</t>
  </si>
  <si>
    <t>Pattagansett Marshes</t>
  </si>
  <si>
    <t>2 revetments, one with ~230' without sandy beach in Sept. 2011</t>
  </si>
  <si>
    <t>Rocky Neck State Park</t>
  </si>
  <si>
    <t>1 groin; railroad tracks adjacent to beach; 2 revetments at Bride Brook; bulkhead/seawall at east end by Giants Neck Road</t>
  </si>
  <si>
    <t>Hatchetts Point</t>
  </si>
  <si>
    <t>Griswold Point</t>
  </si>
  <si>
    <t>Great Island Marshes</t>
  </si>
  <si>
    <t>beach is fringe on marsh with a lot of ditches</t>
  </si>
  <si>
    <t>Old Saybrook Town Beach</t>
  </si>
  <si>
    <t>Middlesex</t>
  </si>
  <si>
    <t>Town of Old Saybrook</t>
  </si>
  <si>
    <t>public beach (~ 200 ft long)</t>
  </si>
  <si>
    <t>2 groins</t>
  </si>
  <si>
    <t>Harvey's Beach</t>
  </si>
  <si>
    <t>public beach (~250 ft long)</t>
  </si>
  <si>
    <t>2 groins; no sandy beach to southeast or northwest</t>
  </si>
  <si>
    <t>Westbrook Town Beach</t>
  </si>
  <si>
    <t>Town of Westbrook</t>
  </si>
  <si>
    <t>10 groins; bulkhead/seawall fronting large parking lot at southwest end; bulkhead/seawall along Seaside Ave at northeast side</t>
  </si>
  <si>
    <t>Menunketesuck Island</t>
  </si>
  <si>
    <t>Duck Island Wildlife Area</t>
  </si>
  <si>
    <t>Clinton Town Beach</t>
  </si>
  <si>
    <t>Town of Clinton</t>
  </si>
  <si>
    <t>3 groins; large parking lot adjacent to beach at north end</t>
  </si>
  <si>
    <t>Hammonasset Natural Area Preserve (State Park)</t>
  </si>
  <si>
    <t>Middlesex &amp; New Haven</t>
  </si>
  <si>
    <t>1 groin; 1 jetty at Toms Creek; beach fill along 10,000 ft in 1955; recreational facilities; 2 inholdings in Clinton on Cedar Island spit; 3 inlets artificially closed</t>
  </si>
  <si>
    <t>East Wharf Beach</t>
  </si>
  <si>
    <t>New Haven</t>
  </si>
  <si>
    <t>Town of Madison</t>
  </si>
  <si>
    <t>2 groins, parking lot adjacent to beach</t>
  </si>
  <si>
    <t>West Wharf Beach</t>
  </si>
  <si>
    <t>revetment at east end (~120'); bulkhead/seawall at west end (~700'); recreational facilities</t>
  </si>
  <si>
    <t>Grass Island</t>
  </si>
  <si>
    <t>Town of Guilford</t>
  </si>
  <si>
    <t>open space, public beach</t>
  </si>
  <si>
    <t>East Haven Town Beach</t>
  </si>
  <si>
    <t>Town of East Haven</t>
  </si>
  <si>
    <t>3 groins; recreational facilities</t>
  </si>
  <si>
    <t>Lighthouse Point Park</t>
  </si>
  <si>
    <t>City of New Haven</t>
  </si>
  <si>
    <t>2 groins; recreational facilities</t>
  </si>
  <si>
    <t>Fort Hale Park</t>
  </si>
  <si>
    <t>revetment at Black Rock Fishing Pier and parking lot; southeastern beaches are cobble</t>
  </si>
  <si>
    <t>East Shore Park</t>
  </si>
  <si>
    <t>Long Wharf Park</t>
  </si>
  <si>
    <t>Sandy Point Bird Sanctuary</t>
  </si>
  <si>
    <t>City of West Haven</t>
  </si>
  <si>
    <t>1 breakwater; possible old railroad trestles on north side crossing both Old Field Creek outlets</t>
  </si>
  <si>
    <t>Bradley Point Park</t>
  </si>
  <si>
    <t>Silver Sands State Park</t>
  </si>
  <si>
    <t>4 inlet channel training walls; 2 groins; 2 revetments; beach fill in 1960; boardwalk; ORV</t>
  </si>
  <si>
    <t>Walnut Beach</t>
  </si>
  <si>
    <t>1 groin; boardwalk; pier</t>
  </si>
  <si>
    <t>Smith-Hubbell Wildlife Refuge and Bird Sanctuary</t>
  </si>
  <si>
    <t>Connecticut Audubon Society</t>
  </si>
  <si>
    <t>Milford Point Unit, Stewart B. McKinney NWR</t>
  </si>
  <si>
    <t>anchor point for Housatonic breakwater</t>
  </si>
  <si>
    <t>Short Beach Park</t>
  </si>
  <si>
    <t>Fairfield</t>
  </si>
  <si>
    <t>Town of Stratford</t>
  </si>
  <si>
    <t>Pleasure Beach Park</t>
  </si>
  <si>
    <t>anchor point for Bridgeport breakwater; abandoned (c. 2012) recreational facilities</t>
  </si>
  <si>
    <t>Seaside Park</t>
  </si>
  <si>
    <t>St. Mary's by-the-Sea</t>
  </si>
  <si>
    <t>revetment/bulkhead along entire shoreline with no beach except for sandy spit at Ash Creek inlet; 1 groin</t>
  </si>
  <si>
    <t>Jennings Beach</t>
  </si>
  <si>
    <t>Town of Fairfield</t>
  </si>
  <si>
    <t>jetty at Ash Creek inlet; sand fencing; large parking lots; recreational facilities including boat storage on beach</t>
  </si>
  <si>
    <t>Penfield Beach</t>
  </si>
  <si>
    <t>Sasco Beach</t>
  </si>
  <si>
    <t>1 groin; parking lot adjacent to beach; bulkhead/seawall on adjacent private property to southeast</t>
  </si>
  <si>
    <t>Burying Hill Beach &amp; Wetlands</t>
  </si>
  <si>
    <t>jetty at Green Farms Brook inlet; bulkhead/seawall along parking area; revetment along most of beach</t>
  </si>
  <si>
    <t>Sherwood Island State Park</t>
  </si>
  <si>
    <t>Compo Beach &amp; Marina</t>
  </si>
  <si>
    <t>7 groins; 4 revetments, bulkheads or seawalls; boat ramp; recreational facilities and very large parking lots adjacent to beach; marina</t>
  </si>
  <si>
    <t>Cockenoe Island</t>
  </si>
  <si>
    <t>Goose Island</t>
  </si>
  <si>
    <t>Saugatuck Valley Audubon Society</t>
  </si>
  <si>
    <t>most of island's shoreline is rocky beach</t>
  </si>
  <si>
    <t>Westport Longshore Club Park</t>
  </si>
  <si>
    <t>Shady Beach</t>
  </si>
  <si>
    <t>City of Norwalk</t>
  </si>
  <si>
    <t>groins at both north and south boundaries</t>
  </si>
  <si>
    <t>Calf Pasture Park</t>
  </si>
  <si>
    <t>5 groins; 1 bulkhead/seawall; recreational facilities; large parking lots; pier</t>
  </si>
  <si>
    <t>Peach Island Unit, Stewart B. McKinney NWR</t>
  </si>
  <si>
    <t>Grassy Island</t>
  </si>
  <si>
    <t>Chimon Island Unit, Stewart B. McKinney NWR</t>
  </si>
  <si>
    <t>2 groins; 1 revetment (~160'); some areas of beach may be rocky with gravel or boulders</t>
  </si>
  <si>
    <t>Sheffield Island Unit, Stewart B. McKinney NWR</t>
  </si>
  <si>
    <t>1 bulkhead/seawall (~750') at northwest end; bulkheads/seawalls (~1100') at south end near lighthouse on a few private inholdings; some areas of beach may be rocky with gravel or boulders</t>
  </si>
  <si>
    <t>Shea (Ram) Island</t>
  </si>
  <si>
    <t>some areas of beach may be rocky with gravel or boulders</t>
  </si>
  <si>
    <t>The Plains (island)</t>
  </si>
  <si>
    <t>Pear Tree Point Beach Park</t>
  </si>
  <si>
    <t>Weed Beach</t>
  </si>
  <si>
    <t>2 groins; 1 revetment (~105'); recreational facilities</t>
  </si>
  <si>
    <t>Cummings Park</t>
  </si>
  <si>
    <t>2 groins; jetty and revetment at Halloween Basin inlet; ORV or beach raking; recreational facilities; large parking lots adjacent to beach</t>
  </si>
  <si>
    <t>terminal groin at Halloween Basin inlet; large parking lot adjacent to beach; revetment on adjacent private property to south</t>
  </si>
  <si>
    <t>Greenwich Point Park (Tod's Point)</t>
  </si>
  <si>
    <t>Town of Greenwich</t>
  </si>
  <si>
    <t>Pelican Island</t>
  </si>
  <si>
    <t>Greenwich Island islet</t>
  </si>
  <si>
    <t>Calf Island Unit, Stewart B. McKinney NWR</t>
  </si>
  <si>
    <t>The Connecticut Critical Habitat and Open Space Interactive Mapper was also consulted, at www.cteco.maps.arcgis.com</t>
  </si>
  <si>
    <t>The Connecticut Coastal Access Guide was also consulted, at www.lisrc.uconn.edu/coastalaccess/</t>
  </si>
  <si>
    <t>NY - LIS</t>
  </si>
  <si>
    <t>Plum Island</t>
  </si>
  <si>
    <t>US Dept. of Homeland Security</t>
  </si>
  <si>
    <t>animal disease research facility</t>
  </si>
  <si>
    <t>12 groins, 2 jetties</t>
  </si>
  <si>
    <t>see online sources listed in the notes below</t>
  </si>
  <si>
    <t>Orient Point County Park</t>
  </si>
  <si>
    <t>2 groins and revetment at tip of Point</t>
  </si>
  <si>
    <t>Gillespie / Alford Trust Easement</t>
  </si>
  <si>
    <t>Peconic Land Trust</t>
  </si>
  <si>
    <t>Truman's Beach</t>
  </si>
  <si>
    <t>Orient-East Marion Park District</t>
  </si>
  <si>
    <t>parking lots at south end</t>
  </si>
  <si>
    <t>Ruth Oliva Preserve at Dam Pond</t>
  </si>
  <si>
    <t>Cove Beach Easement</t>
  </si>
  <si>
    <t>fragmentation (multiple parcels)</t>
  </si>
  <si>
    <t>Inlet Pond County Park</t>
  </si>
  <si>
    <t>Town of Southold</t>
  </si>
  <si>
    <t>large parking lot area</t>
  </si>
  <si>
    <t>Booth Trust Easement</t>
  </si>
  <si>
    <t>Horton's Point Lighthouse Park</t>
  </si>
  <si>
    <t>Southold Park District</t>
  </si>
  <si>
    <t>developed with lighthouse and associated structures, small parking lot</t>
  </si>
  <si>
    <t xml:space="preserve">McCabe's Beach </t>
  </si>
  <si>
    <t>large parking lot</t>
  </si>
  <si>
    <t>Kenney's Beach</t>
  </si>
  <si>
    <t>Peconic Dunes County Park / 4-H Camp</t>
  </si>
  <si>
    <t>4-H camp, park</t>
  </si>
  <si>
    <t>Sound View Dunes Park</t>
  </si>
  <si>
    <t>Suffolk County, Town of Southold</t>
  </si>
  <si>
    <t>nature preserve, passive park</t>
  </si>
  <si>
    <t>private residence and associated structures including 310 ft of bulkhead removed in 2009</t>
  </si>
  <si>
    <t>Town of Southold (2012)</t>
  </si>
  <si>
    <t>Goldsmith Inlet County Park</t>
  </si>
  <si>
    <t>dredging at Goldsmith Inlet at south end</t>
  </si>
  <si>
    <t>Goldsmith Inlet Park</t>
  </si>
  <si>
    <t>jetty at Goldsmith Inlet, dredging of the inlet, parking lot</t>
  </si>
  <si>
    <t>Schreiber Trust Easement</t>
  </si>
  <si>
    <t>Bailie's Beach Park</t>
  </si>
  <si>
    <t>Mattituck Park District</t>
  </si>
  <si>
    <t>jetty at Mattituck Inlet at west end</t>
  </si>
  <si>
    <t>jetty at Mattituck Inelt at east end</t>
  </si>
  <si>
    <t>Hallock State Park Preserve</t>
  </si>
  <si>
    <t>state park, nature preserve</t>
  </si>
  <si>
    <t>2 underwater structures or outcrops act as groins; material mined from bluffs in 1960s in central area</t>
  </si>
  <si>
    <t>NY OPRHP (2010)</t>
  </si>
  <si>
    <t>Iron Pier Beach</t>
  </si>
  <si>
    <t>Town of Riverhead</t>
  </si>
  <si>
    <t>public beach, park, boat access</t>
  </si>
  <si>
    <t>3 groins, boat ramp to Long Island Sound, parking lot</t>
  </si>
  <si>
    <t>Granttham Preserve</t>
  </si>
  <si>
    <t>Reeve Preserve I</t>
  </si>
  <si>
    <t>Anderegg Preserve</t>
  </si>
  <si>
    <t>Howard M. Reeve Park</t>
  </si>
  <si>
    <t>bulkhead along most of beach (~200')</t>
  </si>
  <si>
    <t>McQuade Preserve</t>
  </si>
  <si>
    <t>sunken ships act as groins on the beach</t>
  </si>
  <si>
    <t>Baiting Hollow Tidal Wetlands Area</t>
  </si>
  <si>
    <t>groin field immediately to east, bulkhead immediately to west</t>
  </si>
  <si>
    <t>Wildwood State Park</t>
  </si>
  <si>
    <t>1 groin; revetment and building with bulkhead on the beach below bluff</t>
  </si>
  <si>
    <t>Wading River Beach</t>
  </si>
  <si>
    <t>1 groin; 200' bulkhead fronting parking lot along nearly entire beach</t>
  </si>
  <si>
    <t>Shoreham Beach</t>
  </si>
  <si>
    <t>dual jetties at east end at LILCO lagoon</t>
  </si>
  <si>
    <t>unknown county park/preserve at end of Seacliff Lane in Miller Place</t>
  </si>
  <si>
    <t>Cedar Beach</t>
  </si>
  <si>
    <t>jetty at Mt. Sinai Inlet at west end; huge parking lots at east end; large parking lots, docks and marinas on harbor side of spit; possible backpassing of sediment from jetty fillet to in front of parking lots at east end (in progress in 19Sept2013 imagery)</t>
  </si>
  <si>
    <t>Village of Port Jefferson Public Beach</t>
  </si>
  <si>
    <t>Village of Port Jefferson</t>
  </si>
  <si>
    <t>jetty at Mt. Sinai Harbor at east end; eastern parking lot protected by ~770 ft revetment on the beach at the base of the bluff; central parking lot on beach; western parking lots on beach and surrounded by a bulkhead</t>
  </si>
  <si>
    <t>McAllister County Park</t>
  </si>
  <si>
    <t>jetty at Port Jefferson Harbor Inlet at west end</t>
  </si>
  <si>
    <t>Whitehall Beach</t>
  </si>
  <si>
    <t>Village of Old Field</t>
  </si>
  <si>
    <t>jetty at Port Jefferson Harbor Inlet at east end</t>
  </si>
  <si>
    <t>Flax Pond Tidal Wetlands Area</t>
  </si>
  <si>
    <t>NY DEC and SUNY Stony Brook</t>
  </si>
  <si>
    <t>nature preserve and marine / conservation education center and lab</t>
  </si>
  <si>
    <t>Flax Pond Inlet was artificially created in 1803 and maintained via dredging until dual jetties were built in 1947; historic sand and gravel mining from the beach and inlet; beach and dune fill project in 1997 using 11,000 cy of sediment from overwash deposits on the salt marsh to restore and vegetate a dune / berm at the west end to protect Crane Neck Road from flooding</t>
  </si>
  <si>
    <t>Abrams et al. (2008)</t>
  </si>
  <si>
    <t>West Meadow Beach</t>
  </si>
  <si>
    <t>large parking lots, recreational facilities; barrier spit was historically full of houses, with 94 present in 2004 but after the preserve was created only 6 buildings remained by 2007; a parking lot was also removed; 5 groins at the south end of the spit</t>
  </si>
  <si>
    <t>Nissequogue Preserve</t>
  </si>
  <si>
    <t>Village of Nissequogue</t>
  </si>
  <si>
    <t>Otto Schubert Beach</t>
  </si>
  <si>
    <t>Town of Smithtown</t>
  </si>
  <si>
    <t>revetments on adjacent property to the east</t>
  </si>
  <si>
    <t>Long Beach Town Park</t>
  </si>
  <si>
    <t>large parking lots; 1 groin</t>
  </si>
  <si>
    <t>The David Weld Sanctuary</t>
  </si>
  <si>
    <t>bulkheads on adjacent property to the east</t>
  </si>
  <si>
    <t>Sunken Meadow State Park</t>
  </si>
  <si>
    <t>1 groin; large parking lots, boardwalk and recreational facilities including a golf course</t>
  </si>
  <si>
    <t>Callahan's Beach Park</t>
  </si>
  <si>
    <t>groin and bulkhead on adjacent property to the west</t>
  </si>
  <si>
    <t>Geisslers Beach Park</t>
  </si>
  <si>
    <t>Town of Huntington</t>
  </si>
  <si>
    <t>2 revetments of ~30' and 933'; eastern part is beachand bluff only with private homes on top of bluff</t>
  </si>
  <si>
    <t>Jerome A. Ambro Memorial Wetland Preserve</t>
  </si>
  <si>
    <t>Crab Meadow Beach Park</t>
  </si>
  <si>
    <t>jetty at Crab Meadow Inlet; groin at west boundary; large parking lots and recreational facilities</t>
  </si>
  <si>
    <t>Kirschbaum Park</t>
  </si>
  <si>
    <t>cooling pond/lagoon for power plant with stabilized outlet to Long Island Sound on west boundary</t>
  </si>
  <si>
    <t>Soundview Beach</t>
  </si>
  <si>
    <t>jetty at east end</t>
  </si>
  <si>
    <t>USCG Station Eatons Neck</t>
  </si>
  <si>
    <t>USCG</t>
  </si>
  <si>
    <t>US Coast Guard base</t>
  </si>
  <si>
    <t>3 groins near lighthouse</t>
  </si>
  <si>
    <t>Hobart Beach (Sand City) Park</t>
  </si>
  <si>
    <t>5 groins (along 910' of beach), rock revetment (~1217'), large parking lot at north end</t>
  </si>
  <si>
    <t>Crescent Beach Town Park</t>
  </si>
  <si>
    <t>bulkhead along entire beach; 2 groins, one at each end of beach</t>
  </si>
  <si>
    <t>Lloyd Neck East Beach</t>
  </si>
  <si>
    <t>Village of Lloyd Harbor, Town of Huntington</t>
  </si>
  <si>
    <t>Target Rock NWR</t>
  </si>
  <si>
    <t>USFWS (2006)</t>
  </si>
  <si>
    <t>Caumsett State Historic Park Preserve</t>
  </si>
  <si>
    <t>state park preserve</t>
  </si>
  <si>
    <t>2 groins, 1 revetment (~440')</t>
  </si>
  <si>
    <t>West Neck Beach</t>
  </si>
  <si>
    <t>1 groin at north end; large parking lot at north end</t>
  </si>
  <si>
    <t>Lloyd Harbor Park</t>
  </si>
  <si>
    <t>total park shoreline length ~0.38 miles but only 0.31 of sandy beach in March 2012; revetment (~155'), 2 groins, 2 breakwaters (~300 &amp; ~170'), other groins and revetment adjacent at south end</t>
  </si>
  <si>
    <t>Laurel Hollow Beach</t>
  </si>
  <si>
    <t>Village of Laurel Hollow</t>
  </si>
  <si>
    <t>Oyster Bay NWR / Sagamore Hill National Historic Site</t>
  </si>
  <si>
    <t>USFWS, NPS</t>
  </si>
  <si>
    <t>national historic site; NWR (wetlands and waters)</t>
  </si>
  <si>
    <t>USFWS owns bay bottom to MHW; NPS owns Sagamore Hill NHS upland</t>
  </si>
  <si>
    <t>Soundside Beach Park</t>
  </si>
  <si>
    <t>Village of Bayville</t>
  </si>
  <si>
    <t>large parking lot, recreational facilities</t>
  </si>
  <si>
    <t>Charles E. Ransom Beach (in Bayville)</t>
  </si>
  <si>
    <t>seawall along entire length; 1 groin; parking lot and recreational facilities on top of seawall</t>
  </si>
  <si>
    <t>unnamed beach in Locust Valley</t>
  </si>
  <si>
    <t>Village of Locust Valley</t>
  </si>
  <si>
    <t>Stehli Beach (in Lattingtown)</t>
  </si>
  <si>
    <t>Town of Oyster Bay, USFWS</t>
  </si>
  <si>
    <t>public beach; NWR</t>
  </si>
  <si>
    <t>large parking lots, beach raking, sand fencing; Oyster Bay NWR owns the intertidal portion of the beach as part of its Frost Creek Unit</t>
  </si>
  <si>
    <t>Prybil Beach</t>
  </si>
  <si>
    <t>City of Glen Cove</t>
  </si>
  <si>
    <t>seawall along entire length; 3 groins; parking lot and recreational facilities on top of seawall</t>
  </si>
  <si>
    <t>Welwyn Preserve County Park</t>
  </si>
  <si>
    <t>5 groins, seawall / bulkhead along nearly entire shoreline</t>
  </si>
  <si>
    <t>Morgan Memorial Park</t>
  </si>
  <si>
    <t>USACE breakwater, 2 groins, seawall at north end; Glen Cove Yacht Club piers at south end</t>
  </si>
  <si>
    <t>Garvies Point Museum &amp; Preserve</t>
  </si>
  <si>
    <t>development on top of bluff adjacent to preserve; 2 groins; groins at southern end at adjacent Hempstead Harbour Club</t>
  </si>
  <si>
    <t>Sea Cliff Municipal Beach</t>
  </si>
  <si>
    <t>Village of Sea Cliff</t>
  </si>
  <si>
    <t>2 groins, seawall / bulkhead (~800')</t>
  </si>
  <si>
    <t>Harry Tappen Beach</t>
  </si>
  <si>
    <t>revetment and bulkhead at north end; bulkhead at south end perpendicular to beach; large parking lots; beach raking</t>
  </si>
  <si>
    <t>North Hempstead Beach Park</t>
  </si>
  <si>
    <t>Town of North Hempstead</t>
  </si>
  <si>
    <t>3 groins, revetment at Hempstead Harbor Inlet, bulkhead; no beach at north end in Nov. 2011; very large parking lots, recreational facilities</t>
  </si>
  <si>
    <t>Sands Point Preserve</t>
  </si>
  <si>
    <t>Friends of the Sands Point Preserve, Nassau County</t>
  </si>
  <si>
    <t>historical estate, nature preserve</t>
  </si>
  <si>
    <t>7 groins; revetment (~180'); historically a concrete seawall lined the entire beach, but it has not been maintained and several sections have failed</t>
  </si>
  <si>
    <t>Friends of the Sands Point Preserve (http://thesandspointpreserve.com/the-historic-estate/nature-grounds/)</t>
  </si>
  <si>
    <t>The NY Department of Environmental Conservation (NY DEC) Lands data layer from the NY GIS Clearinghouse was also consulted, at http://gis.ny.gov/gisdata/index.cfm</t>
  </si>
  <si>
    <t>The Suffolk County GIS Viewer is available at http://gis2.suffolkcountyny.gov/GISViewer/</t>
  </si>
  <si>
    <t>The Nassau County Land Records Viewer is available at http://lrv.nassaucountyny.gov/map/?s=30&amp;b=++B&amp;l=1090</t>
  </si>
  <si>
    <t>The Peconic Land Trust Conservation Map is available at http://www.peconiclandtrust.org/mapsalive.html)</t>
  </si>
  <si>
    <t>NY - Peconic</t>
  </si>
  <si>
    <t>Montauk Point Lighthouse</t>
  </si>
  <si>
    <t>Long Island State Park Commission</t>
  </si>
  <si>
    <t>see online sources listed in Notes below</t>
  </si>
  <si>
    <t>Montauk Point State Park</t>
  </si>
  <si>
    <t>state of NY, Long Island State Park Commission</t>
  </si>
  <si>
    <t>airport runway on top of bluff west of Big Reed Pond; heavy ORV use with camping and fishing on beach</t>
  </si>
  <si>
    <t>Town of East Hampton (1999)</t>
  </si>
  <si>
    <t>East Lake Beach (Gin Beach)</t>
  </si>
  <si>
    <t>parking lot; jetty at west end at Lake Montauk Inlet</t>
  </si>
  <si>
    <t>West Lake Drive Beach</t>
  </si>
  <si>
    <t>parking lot; jetty at east end at Lake Montauk Inlet; revetment along nearly entire beach</t>
  </si>
  <si>
    <t>Culloden Point Beach</t>
  </si>
  <si>
    <t>park (partially underwater - HMS Culloden shipwreck)</t>
  </si>
  <si>
    <t>unknown public beach or park immediately south of Culloden Point along Fort Pond Bay</t>
  </si>
  <si>
    <t>unknown</t>
  </si>
  <si>
    <t>park or public beach</t>
  </si>
  <si>
    <t>private development on adjacent bluff top in some areas</t>
  </si>
  <si>
    <t>Peconic Land Trust Conservation Map</t>
  </si>
  <si>
    <t>Town Beach at Navy Road</t>
  </si>
  <si>
    <t>railroad line on adjacent property behind beach and Navy Road</t>
  </si>
  <si>
    <t>unknown Suffolk County parcel along Navy Road in Montauk</t>
  </si>
  <si>
    <t>Suffolk County GIS Parcel Viewer</t>
  </si>
  <si>
    <t>Fort Pond Bay Park / Eddie Ecker Park / Benson Point</t>
  </si>
  <si>
    <t>pier with revetment (~90'); 2 groins; historically a sand mining operation</t>
  </si>
  <si>
    <t>Hither Woods Preserve</t>
  </si>
  <si>
    <t>Town of East Hampton, Suffolk County, state of NY</t>
  </si>
  <si>
    <t>railroad line on top of bluff along part of shoreline; structure remnants on beach at northwest corner of Hicks Island</t>
  </si>
  <si>
    <t>Cedar Bush Preserve</t>
  </si>
  <si>
    <t>private development on adjacent properties to east and west</t>
  </si>
  <si>
    <t>Fresh Pond Park</t>
  </si>
  <si>
    <t>2 groins at Fresh Pond Inlet; seawall/bulkhead in front of parking lot with no beach along part of it</t>
  </si>
  <si>
    <t>Dennistown Bell Park - Big &amp; Little Albert's Landing Parks</t>
  </si>
  <si>
    <t>parks</t>
  </si>
  <si>
    <t>groin at south end at Fresh Pond Inlet; 4 groins within parks; bulkhead at Big Albert's Landing Park; groin field and bulkhead on adjacent property to north</t>
  </si>
  <si>
    <t>Barnes Landing</t>
  </si>
  <si>
    <t>passive park or public beach</t>
  </si>
  <si>
    <t>private development on bluff top adjacent to beach; 2 groins and old Bell Pier which acts like a groin</t>
  </si>
  <si>
    <t>Louse Point Town Beach</t>
  </si>
  <si>
    <t>groin at south boundary; dredge disposal for Accobonac Inlet; ORV</t>
  </si>
  <si>
    <t>Town of East Hampton (2013)</t>
  </si>
  <si>
    <t>Gerard Point</t>
  </si>
  <si>
    <t>private development on adjacent properties to north and south; ORV</t>
  </si>
  <si>
    <t>Gerard Park</t>
  </si>
  <si>
    <t>unknown protected parcel along Gerard Drive north of historic inlet or sluice site in Springs</t>
  </si>
  <si>
    <t>revetment protecting road; 1 groin</t>
  </si>
  <si>
    <t>Camp Blue Bay</t>
  </si>
  <si>
    <t>Nassau Council of Girl Scouts</t>
  </si>
  <si>
    <t>summer camp</t>
  </si>
  <si>
    <t>ORV; one bulkhead or old dock acting like a groin at south end</t>
  </si>
  <si>
    <t>Maidstone Park</t>
  </si>
  <si>
    <t>jetty at south end at Three Mile Harbor Inlet; recreational facilities</t>
  </si>
  <si>
    <t>Sammy's Beach</t>
  </si>
  <si>
    <t>jetty at north end at Three Mile Harbor Inlet; ORV; dredge disposal on beach</t>
  </si>
  <si>
    <t>Cedar Point County Park</t>
  </si>
  <si>
    <t>revetment (~750') at Cedar Point Lighthouse; ORV; buildings and campground at southwest corner</t>
  </si>
  <si>
    <t>Grace Estate</t>
  </si>
  <si>
    <t>Mile Hill Beach</t>
  </si>
  <si>
    <t>Northwest Harbor Tidal Wetlands Area</t>
  </si>
  <si>
    <t>NY DEC, Suffolk County</t>
  </si>
  <si>
    <t>Linda Gronlund Memorial Nature Preserve</t>
  </si>
  <si>
    <t>NY DEC</t>
  </si>
  <si>
    <t>Haven's Beach</t>
  </si>
  <si>
    <t>Village of Sag Harbor</t>
  </si>
  <si>
    <t>parking lots near beach</t>
  </si>
  <si>
    <t>unknown passive park or protected parcel on north shoulder of Fresh Pond Inlet in North Haven (the spit)</t>
  </si>
  <si>
    <t>revetment on private property immediately adjacent to north</t>
  </si>
  <si>
    <t>Tramaridge Trust Easement</t>
  </si>
  <si>
    <t>groin on adjacent property to the north</t>
  </si>
  <si>
    <t>unknown public beach or park at end of Bayview Court in North Haven</t>
  </si>
  <si>
    <t>2 groins, a dock acting like a groin; bulkhead with no beach on adjacent property to south</t>
  </si>
  <si>
    <t>Foster Memorial Town Beach</t>
  </si>
  <si>
    <t>revetment (~1375') and 24 groins at north end along Noyack - Long Beach Road, some of which has no beach; parking lot with access road along most of beach south of the revetment</t>
  </si>
  <si>
    <t>Clam Island</t>
  </si>
  <si>
    <t>Elizabeth A. Morton NWR</t>
  </si>
  <si>
    <t>groin and bulkhead along private development on adjacent property to southwest</t>
  </si>
  <si>
    <t>Cow Neck Trust Easement</t>
  </si>
  <si>
    <t>Tern Island Easement</t>
  </si>
  <si>
    <t>Meschutt Beach County Park</t>
  </si>
  <si>
    <t>large parking lots line nearly entire beach; jetty at Shinnecock Inlet at west end; sand fencing; recreational facilities</t>
  </si>
  <si>
    <t>Shinnecock Indian Nation lands along Peconic Bay in Hampton Bays</t>
  </si>
  <si>
    <t>Shinnecock Indian Nation</t>
  </si>
  <si>
    <t>trival reservation</t>
  </si>
  <si>
    <t>East Landing Road Beach Access</t>
  </si>
  <si>
    <t>private development on adjacent property to east</t>
  </si>
  <si>
    <t>West Landing Road Beach Access</t>
  </si>
  <si>
    <t>Squiretown Park</t>
  </si>
  <si>
    <t>bulkhead (~155') along base of bluff in center of park</t>
  </si>
  <si>
    <t>unknown public beach or park on east side of Red Creek Pond Inlet</t>
  </si>
  <si>
    <t>revetment</t>
  </si>
  <si>
    <t>Hubbard County Park</t>
  </si>
  <si>
    <t>unknown protected parcel at Fantasy Drive and Longneck Blvd in Flanders</t>
  </si>
  <si>
    <t>unknown protected parcel in Flanders at mouth of Peconic River at Iron Point</t>
  </si>
  <si>
    <t>Indian Island County Park</t>
  </si>
  <si>
    <t>note park contains at least 1 other pocket beach that is less than 500' long</t>
  </si>
  <si>
    <t>Wines / Gilbert Trust Easement</t>
  </si>
  <si>
    <t>bulkhead on private property immediately to west</t>
  </si>
  <si>
    <t>Miamogue Point</t>
  </si>
  <si>
    <t>bulkhead on private property immediately to east</t>
  </si>
  <si>
    <t>South Jamesport Park</t>
  </si>
  <si>
    <t>recreational facilities, large parking lots, marina on East Creek shoreline</t>
  </si>
  <si>
    <t>Yacht Club Property Beach</t>
  </si>
  <si>
    <t>3 groins, recreational facilities, parking lot</t>
  </si>
  <si>
    <t>Veteran Memorial Park</t>
  </si>
  <si>
    <t>New Suffolk Beach</t>
  </si>
  <si>
    <t>bulkhead, 4 groins, breakwater; parking lot</t>
  </si>
  <si>
    <t>New Suffolk Trust Easement</t>
  </si>
  <si>
    <t>Peconic Land Trust, New Suffolk Waterfront Fund, Robins Island Holdings</t>
  </si>
  <si>
    <t>Paumanok Trust Easement</t>
  </si>
  <si>
    <t>revetment along nearly entire beach</t>
  </si>
  <si>
    <t>Robins Island</t>
  </si>
  <si>
    <t>Robins Island Foundation</t>
  </si>
  <si>
    <t>Robins Island Foundation (www.robinsisland.org)</t>
  </si>
  <si>
    <t>Pequash Avenue Beach</t>
  </si>
  <si>
    <t>Cutchogue-New Suffolk Park District</t>
  </si>
  <si>
    <t>bulkheads on private property to east and west</t>
  </si>
  <si>
    <t>Meadow Beach parcels on Horseshoe Cove peninsula in Cutchogue</t>
  </si>
  <si>
    <t>Town of Southold (2013)</t>
  </si>
  <si>
    <t>Pia Trust Easement</t>
  </si>
  <si>
    <t>bulkhead and 2 groins at north end; jetty at Wunneweta Pond Inlet at south end</t>
  </si>
  <si>
    <t>Nassau Point Beach</t>
  </si>
  <si>
    <t>parking access road behind entire beach</t>
  </si>
  <si>
    <t>Little Creek Inlet open space</t>
  </si>
  <si>
    <t>Emerson Park</t>
  </si>
  <si>
    <t>Blocker Preserve</t>
  </si>
  <si>
    <t>Cedar Beach County Park</t>
  </si>
  <si>
    <t>large parking lot, recreational facilities and finger canals at north end</t>
  </si>
  <si>
    <t>Shellfisher Preserve</t>
  </si>
  <si>
    <t>mariculture facility</t>
  </si>
  <si>
    <t>dredged inlet and lagoon, 2 box jetties, revetment, 1 groin, 1 artificial inlet, bulkheads</t>
  </si>
  <si>
    <t>Goose Creek Beach</t>
  </si>
  <si>
    <t>Founder's Landing Park</t>
  </si>
  <si>
    <t>2 groins, bulkhead; parking lot, recreational facilities</t>
  </si>
  <si>
    <t>Moores Drain Open Space</t>
  </si>
  <si>
    <t>5th Street Beach and Park</t>
  </si>
  <si>
    <t>Village of Greenport</t>
  </si>
  <si>
    <t>1 groin; bulkhead at end of 5th St.; bulkheads at east and west boundaries; recreational facilities</t>
  </si>
  <si>
    <t>unknown public beach or park on east side of Stirling Basin inlet at end of Beach St. in Greenport</t>
  </si>
  <si>
    <t>Norman Klipp Park (Gull Pond Beach)</t>
  </si>
  <si>
    <t>jetty at Gull Pond Inlet; large parking lot</t>
  </si>
  <si>
    <t>Truman's Beach complex</t>
  </si>
  <si>
    <t>Orient - East Marion Park District</t>
  </si>
  <si>
    <t>public beach, passive park</t>
  </si>
  <si>
    <t>ORV; one undeveloped inholding property owns ~209' of beach near the southeastern end</t>
  </si>
  <si>
    <t>Long Beach Bay Tidal Wetlands Area</t>
  </si>
  <si>
    <t>tidal wetlands area</t>
  </si>
  <si>
    <t>9 groins, 5 of which are offshore remnants; bulkhead and groins on adjacent private property on southeast boundary</t>
  </si>
  <si>
    <t>Orient Beach State Park</t>
  </si>
  <si>
    <t>14 groins; revetment along entry causeway (~4,065') with no beach for all but ~820' of its length; bulkhead with no beach at marina on adjacent property to east</t>
  </si>
  <si>
    <t>5 groins on Peconic Estuary shoreline; revetment with no beach (~80') at Orient Point</t>
  </si>
  <si>
    <t>Mashomack Preserve, Shelter Island</t>
  </si>
  <si>
    <t>unknown protected parcel east of end of Sea Gull Road near inlet, Shelter Island</t>
  </si>
  <si>
    <t>Town of Shelter Island</t>
  </si>
  <si>
    <t>Wade's Beach, Shelter Island</t>
  </si>
  <si>
    <t>Shell Beach, Shelter Island</t>
  </si>
  <si>
    <t>Crescent (Louis) Beach, Shelter Island</t>
  </si>
  <si>
    <t>2 groins, bulkhead along entire length; Shore Road immediately adjacent to beach with street parking</t>
  </si>
  <si>
    <t>Sylvester Manor Educational Farm, Shelter Island</t>
  </si>
  <si>
    <t>Sylvester Manor Educational Farm, Inc.</t>
  </si>
  <si>
    <t>bulkhead bridge abutment on Winthrop Road at Gardiners Creek Inlet; Peconic Land Trust and the Town of Shelter Island have conservation easements on various Sylvester Manor parcels</t>
  </si>
  <si>
    <t>Menhaden Lane public access, Shelter Island</t>
  </si>
  <si>
    <t>public beach access</t>
  </si>
  <si>
    <t>parking lot</t>
  </si>
  <si>
    <t>Dressel Preserve, Shelter Island</t>
  </si>
  <si>
    <t>Town of Shelter Island, Suffolk County</t>
  </si>
  <si>
    <t>unknown Suffolk County parcel south of Dressel Preserve, Shelter Island</t>
  </si>
  <si>
    <t>bulkhead and groins on adjacent private property to south</t>
  </si>
  <si>
    <t>unknown preserve on Ram Island Drive causeway, Shelter Island</t>
  </si>
  <si>
    <t>TNC, Town of Shelter Island, Suffolk County</t>
  </si>
  <si>
    <t>2 revetments (~520 and ~730') protecting causeway; bulkhead at south boundary; 1 inholding private property of ~106' of beach (undeveloped)</t>
  </si>
  <si>
    <t>Reel Point Reserve, Shelter Island</t>
  </si>
  <si>
    <t>Approximate Length of Sandy Beach in 2015 (miles)</t>
  </si>
  <si>
    <t>NC</t>
  </si>
  <si>
    <t>Swan Island Unit, Currituck NWR</t>
  </si>
  <si>
    <t>Currituck</t>
  </si>
  <si>
    <t>ORV; feral hogs and horses</t>
  </si>
  <si>
    <t>Monkey Island Unit, Currituck NWR</t>
  </si>
  <si>
    <t>Audubon NC</t>
  </si>
  <si>
    <t>sanctuary</t>
  </si>
  <si>
    <t>Pea Island NWR</t>
  </si>
  <si>
    <t>Dare</t>
  </si>
  <si>
    <t>terminal groin and dredging activities at Oregon Inlet on north boundary; dredge spoil placement; maintenance of dune ridge and NC 12 by NC DOT; inlet breach at south end in 2011 with sandbag and sheet pile revetments; waterfowl impoundments</t>
  </si>
  <si>
    <t>Cape Lookout NS</t>
  </si>
  <si>
    <t>Carteret</t>
  </si>
  <si>
    <t>NPS (http://www.nps.gov/calo/planyourvisit/things2know.htm)</t>
  </si>
  <si>
    <t>Fort Macon State Park</t>
  </si>
  <si>
    <t>state of NC</t>
  </si>
  <si>
    <t>Hammocks Beach State Park (Bear Island)</t>
  </si>
  <si>
    <t>Onslow</t>
  </si>
  <si>
    <t>Bogue Inlet at north end channel relocated and dredging activities</t>
  </si>
  <si>
    <t>Brown's Island, Camp Lejeune</t>
  </si>
  <si>
    <t>US Marine Corps</t>
  </si>
  <si>
    <t>undeveloped military base</t>
  </si>
  <si>
    <t>military exercises</t>
  </si>
  <si>
    <t>Onslow Beach, Camp Lejeune</t>
  </si>
  <si>
    <t>military exercises; beach nourishment; dredging activities at New River Inlet on south end; proposed shoal mining at New River Inlet for beach fill</t>
  </si>
  <si>
    <t>Lea-Hutaff Island</t>
  </si>
  <si>
    <t>Pender</t>
  </si>
  <si>
    <t>Mason Inlet Waterbird Management Area</t>
  </si>
  <si>
    <t>New Hanover</t>
  </si>
  <si>
    <t>New Hanover County, Audubon NC</t>
  </si>
  <si>
    <t>bird sanctuary</t>
  </si>
  <si>
    <t>Masonboro Island NERR and Masonboro Island State Natural Area</t>
  </si>
  <si>
    <t>NOAA, state of NC</t>
  </si>
  <si>
    <t>Freeman Park</t>
  </si>
  <si>
    <t>Town of Carolina Beach</t>
  </si>
  <si>
    <t>Fort Fisher State Recreation Area</t>
  </si>
  <si>
    <t>NC DENR (2011), NC State Parks (http://www.ncparks.gov/Visit/parks/fofi/main.php)</t>
  </si>
  <si>
    <t>Brunswick and New Hanover</t>
  </si>
  <si>
    <t>Cape Fear Point, Bald Head Island State Natural Area</t>
  </si>
  <si>
    <t>Brunswick</t>
  </si>
  <si>
    <t>Bird Island NC Coastal Reserve (http://www.nccoastalreserve.net/About-The-Reserve/Reserve-Sites/Bird-Island/87.aspx)</t>
  </si>
  <si>
    <t>conservation easements (2)</t>
  </si>
  <si>
    <t>Breakwater Park (aka Bailie's Beach District Park South)</t>
  </si>
  <si>
    <t>passive park / public beach</t>
  </si>
  <si>
    <t>NY - Atlantic</t>
  </si>
  <si>
    <t>Camp Hero State Park</t>
  </si>
  <si>
    <t>groin, revetment, beach fill, sand fencing</t>
  </si>
  <si>
    <t>beach fill in 1962 and 2013-14, sand fencing</t>
  </si>
  <si>
    <t>beach fill in 1962. 2013 and 2014; sand fencing</t>
  </si>
  <si>
    <t>beach fill in 2013; sand fencing</t>
  </si>
  <si>
    <t>beach fill in 2013, 2014 and 2016; sand fencing</t>
  </si>
  <si>
    <t>jetty at Shinnecock Inlet; dredge spoil placement and emergency dune construction projects; sand fencing</t>
  </si>
  <si>
    <t>Tiana Beach Oceanside</t>
  </si>
  <si>
    <t>beach fill, sand fencing</t>
  </si>
  <si>
    <t>Google Earth (2016)</t>
  </si>
  <si>
    <t>Shinnecock County Park West &amp; Ponquogue Beach</t>
  </si>
  <si>
    <t>jetty at Shinnecock Inlet; West of Shinnecock Interim Storm Damage Reduction Project of the USACE periodically places beach fill along 4,000 ft of beach immediately west of jetty; sand fencing; Ponquogue Beach portion owned by Town of Southampton</t>
  </si>
  <si>
    <t>Suffolk County, Town of Southampton</t>
  </si>
  <si>
    <t>Sand Bar Beach</t>
  </si>
  <si>
    <t>Google Earth (2016), Town of East Hampton (http://www.town.east-hampton.ny.us/HtmlPages/Recreation/Beaches.html)</t>
  </si>
  <si>
    <t>NY State Office of Parks, Recreation &amp; Historic Preservation (www.nysparks.com); Google Earth (2016)</t>
  </si>
  <si>
    <t>USFWS (2006), Google Earth (2016)</t>
  </si>
  <si>
    <t>Google Earth (2016), Town of Brookhaven (http://www.brookhaven.org/Departments/ParksRecreation/ParksPlaygrounds.aspx)</t>
  </si>
  <si>
    <t>Google Earth (2016), Town of Islip (http://www.townofislip-ny.gov/departments/parks-recreation-and-cultural-affairs)</t>
  </si>
  <si>
    <t>Dallas et al. (2013), Google Earth (2016)</t>
  </si>
  <si>
    <t>Google Earth (2016), New York City Department of Parks &amp; Recreation (http://www.nycgovparks.org/parks/manhattan-beach-park)</t>
  </si>
  <si>
    <t>Google Earth (2016), City of Virginia Beach (http://www.vbgov.com/government/departments/parks-recreation/parks-trails/city-parks/Pages/little-island-park.aspx)</t>
  </si>
  <si>
    <t>Google Earth (2016), VADCR (http://www.destateparks.com/park/delaware-seashore/index.asp)</t>
  </si>
  <si>
    <t>Google Earth (2016), Audubon NC (http://nc.audubon.org/mason-inlet-waterbird-management-area)</t>
  </si>
  <si>
    <t>NC DENR (2011), Google Earth (2016)</t>
  </si>
  <si>
    <t>Google Earth (2016), NH GRANIT (2015)</t>
  </si>
  <si>
    <t>revetment, beach fill, sand fencing, beach scraping</t>
  </si>
  <si>
    <t>Triton Beach (aka Hot Dog Beach)</t>
  </si>
  <si>
    <t>jetty at Moriches Inlet, revetment on bayside; artificial closure of inlets in 1981 and 2012; beach fill and/or dredge disposal</t>
  </si>
  <si>
    <t>jetty at Moriches Inlet; beach fill and beach placement of dredge spoil from Moriches Inlet navigation channel; regrading and vegetation removal to enhance shorebird nesting habitat as part of FIMI in 2014; recreational facilities, campground, ORV</t>
  </si>
  <si>
    <t>USACE (2014c, d), USFWS (2014a, b), Suffolk County (http://www.suffolkcountyny.gov/Departments/Parks/Parks/SmithPointCountyPark.aspx)</t>
  </si>
  <si>
    <t>jetties at Moriches Inlet; Smith Point County Park and 17 communities within NS boundaries; 2 groins and concrete rubble core in dune at Ocean Beach; beach fill; private beach fill and sandbag revetments in inholding communities</t>
  </si>
  <si>
    <t>recreational facilities; beach fill in 2007,  2009 and 2016; sand cube revetment, sand fencing</t>
  </si>
  <si>
    <t>recreational facilities, marina; beach fill in 2015-16; beach scraping, sand fencing</t>
  </si>
  <si>
    <t>jetty at Fire Island Inlet; beach fill and/or dredge disposal perodicially since 1960; sand fencing, recreational facilities</t>
  </si>
  <si>
    <t>Town of Babylon - Oak Beach</t>
  </si>
  <si>
    <t>revetment, groins</t>
  </si>
  <si>
    <t>beach fill periodically since 1960, and particularly after Hurricane Sandy; sand fencing, dune plantings; recreational facilities; Ocean Parkway immediately adjacent to beach at western portion</t>
  </si>
  <si>
    <t>beach fill and sand fencing at Tobay Beach; recreational facilities; Ocean Parkway immediately adjacent to beach</t>
  </si>
  <si>
    <t>island fill in 1920s raised beach and island to 14 ft elevation; beach fill along 1,000 ft of beach in 1973 and 1990; jetty at Jones Inlet; recreational facilities and very large parking lots; Ocean Parkway adjacent to beach at eastern portion; sand fencing</t>
  </si>
  <si>
    <t>beach fill in 2016; sand fencing</t>
  </si>
  <si>
    <t>USACE (2006. 2015c, 2015d)</t>
  </si>
  <si>
    <t>1 groin; dredge disposal from Jones Inlet; 3 additional groins (2016) and beach fill</t>
  </si>
  <si>
    <t>1 groin and beach fill in 2016</t>
  </si>
  <si>
    <t>2 proposed groins ; beach fill in 2016</t>
  </si>
  <si>
    <t>3 groins; sand fencing; beach fill in 2016</t>
  </si>
  <si>
    <t>numerous groins (~68) and bulkheads (~3 contiguous sections) at Jacob Riis and Fort Tilden; beach fill fom 1915 - 1940 and 2014 at Jacob Riis; beach scraping at Jacob Riis and part of Breezy Point; sand fencing in some areas; artificial dune near private development at Breezy Point; recreational facilities</t>
  </si>
  <si>
    <t>Little Beach Island, Edwin B. Forsythe NWR</t>
  </si>
  <si>
    <t>remnant groin at north boundary with Long Beach Twp.; within the authorized but not constructed USACE beach fill project for 20 miles of Long Beach Island; extensive groin field and beach fill in developed area immediately north of NWR</t>
  </si>
  <si>
    <t>mining of Brigantine Inlet at south end for beach fill; proposed dredging or mining of Little Egg Inlet</t>
  </si>
  <si>
    <t>USACE (2016g), Google Earth (2016)</t>
  </si>
  <si>
    <t>Farrell et al. (1999), Kennish (2001), USACE (2016g)</t>
  </si>
  <si>
    <t>groin immediately to north in Ocean City near park boundary; mining of Corson's Inlet to south for beach fill</t>
  </si>
  <si>
    <t>bulkhead (buried), groins; 3 raised platforms to enhance bird nesting habitat constructed from scraped fill in 2015; authorized but not constructed USACE project to reconstruct dune with fill and geotube core</t>
  </si>
  <si>
    <t>2 groins at Battery Herring; 2 groins at southern end; two historic brick towers on beach; sand fencing; ORV</t>
  </si>
  <si>
    <t>fragmentation (0.55 miles of developed area inholdings); beach fill at north and south ends; sand fencing; ORV</t>
  </si>
  <si>
    <t>Google Earth (2016), Delaware State Parks (http://www.destateparks.com/park/cape-henlopen/index.asp)</t>
  </si>
  <si>
    <t>Deauville Beach</t>
  </si>
  <si>
    <t>state of DE, City of Rehoboth</t>
  </si>
  <si>
    <t>City of Rehoboth Beach Public Beach</t>
  </si>
  <si>
    <t>City of Rehoboth Beach</t>
  </si>
  <si>
    <t>The entire beach in the City of Rehoboth Beach is owned by the city, but only this undeveloped area at the north end is included in the assessment due to private development directly adjacent to the remaining portion of the beach.  Modified by sand fencing and vegetation plantings.</t>
  </si>
  <si>
    <t>Google Earth (2016), Sussex County Online Map (https://maps.sussexcountyde.gov/OnlineMap/Map.html)</t>
  </si>
  <si>
    <t>3 groins, sand fencing, ORV</t>
  </si>
  <si>
    <t>Wallops Island NASA Flight Facility</t>
  </si>
  <si>
    <t>31st Street Park</t>
  </si>
  <si>
    <t>seawall, beach fill, beach scraping</t>
  </si>
  <si>
    <t>24th Street Park</t>
  </si>
  <si>
    <t>Grommet Island Park</t>
  </si>
  <si>
    <t>Croatan Beach Park</t>
  </si>
  <si>
    <t>Croatan Lot</t>
  </si>
  <si>
    <t>remote beach parking lot, public beach</t>
  </si>
  <si>
    <t>jetty, seawall, beach fill / dredge disposal, inlet dredging at adjacent Rudee Inlet</t>
  </si>
  <si>
    <t>2 jetties, sand fencing, inlet dredging at adjacent Rudee Inlet</t>
  </si>
  <si>
    <t>Google Earth (2016), City of Virginia Beach - Park Property Inventory</t>
  </si>
  <si>
    <t>Google Earth (2016), City of Virginia Beach - Parking Management Office website</t>
  </si>
  <si>
    <t>Naval Air Station Oceana Dam Neck Annex</t>
  </si>
  <si>
    <t>Cobb Island, Virginia Coast Reserve</t>
  </si>
  <si>
    <t>Cedar Island Unit, Chincoteague NWR</t>
  </si>
  <si>
    <t>JEB Little Creek / Fort Story</t>
  </si>
  <si>
    <t>seawall with armor stone at back of entire beach; no sandy beach present in 2015</t>
  </si>
  <si>
    <t>concrete barriers and tree waddles protecting bathhouse (~140'); revetment and development at northeast end</t>
  </si>
  <si>
    <t>Little Chebeague Island State Park</t>
  </si>
  <si>
    <t>Deb's Cove</t>
  </si>
  <si>
    <t>Cape Elizabeth Land Trust</t>
  </si>
  <si>
    <t>USFWS, TNC</t>
  </si>
  <si>
    <t>NWR, nature preserve</t>
  </si>
  <si>
    <t>ME DACF (2015), Kate O'Brien, USFWS, pers. communication 11/7/2016</t>
  </si>
  <si>
    <t>revetment on north shoreline of Goosefare Brook Inlet; fragmentation - separate parcels on both inlet shoulders; private development adjacent to the north and south; USFWS and TNC own adjacent parcels on the south inlet shoreline</t>
  </si>
  <si>
    <t>Northwest Harbor County Park</t>
  </si>
  <si>
    <t>beach fill</t>
  </si>
  <si>
    <t>dual jetties at what looks like an artificial inlet immediately to the north of Northwest Creek Inlet; no sandy beach with direct exposure in 2015</t>
  </si>
  <si>
    <t>bulkhead protecting an unnamed pond on the southwest side that has no sandy beach for ~418' in 2015; 1.42 mile revetment installed in 2013</t>
  </si>
  <si>
    <t>revetment (~590') with no beach at Montauk Point by lighthouse (Peconic Estuary shoreline portion)</t>
  </si>
  <si>
    <t>remnant bulkheads and groins, industrial site with no beach in 2015 at southwest end</t>
  </si>
  <si>
    <t>note park contains other pocket beaches that are less than 500' long</t>
  </si>
  <si>
    <t>2 groins at either end; beach fill after Hurricane Sandy; recreational facilities; parking lot</t>
  </si>
  <si>
    <t>2 parcels at 1st and Main Streets in New Suffolk were purchased in 2010 and 2013 but have not been fully restored yet; modifications include bulkheads, groins, a jetty, breakwaters, boat slips and buildings; as of May 2015 the site had approximately 390 ft of sandy beach</t>
  </si>
  <si>
    <t>4 revetments on west side, 3 of which were expanded and 1 constructed after Hurricane Sandy; dock acting as a groin plus 1 groin next to groin</t>
  </si>
  <si>
    <t>1 groin; beach fill; 3 inholding lots have bulkheads and homes with no beach</t>
  </si>
  <si>
    <t>beach fill at east end; parking lot, recreational facilities; bulkheads at North Bayview Road bridge abutments across Goose Creek Inlet</t>
  </si>
  <si>
    <t>Widow's Hole Preserve</t>
  </si>
  <si>
    <t>Peconic Land Trust website</t>
  </si>
  <si>
    <t>former petroleum fuels distribution terminal donated by ExxonMobil to PLT in Dec 2012; ongoing habitat restoration in 2016</t>
  </si>
  <si>
    <t>beach fill; bulkhead and groins on adjacent private property to east</t>
  </si>
  <si>
    <t>2 groins; beach fill south of Coecles Harbor inlet</t>
  </si>
  <si>
    <t>2 groins; revetment on inlet shoulder with no beach in 2015</t>
  </si>
  <si>
    <t>beach fill; large parking lot at south end; bulkhead on private property across Dickerson Creek Inlet</t>
  </si>
  <si>
    <t>bulkhead at spit tip; 9 groins; revetment (~580') along causeway; beach fill</t>
  </si>
  <si>
    <t>beach and dune fill; sand fencing; ORV</t>
  </si>
  <si>
    <t>The Suffolk County GIS Viewer is available at http://gis3.suffolkcountyny.gov/GISViewer/</t>
  </si>
  <si>
    <t>Gilgo State Park</t>
  </si>
  <si>
    <t>former military base; revetment at Montauk Point has no beach along 0.08 miles of shoreline in 2015</t>
  </si>
  <si>
    <t>revetment overlaps west end of beach; sand fencing</t>
  </si>
  <si>
    <t>RI GIS (2016)</t>
  </si>
  <si>
    <t>fragmented in 3 discontiguous parcels, 1 of which had no sandy beach present in 2015 due to a revetment</t>
  </si>
  <si>
    <t>Briggs Marsh</t>
  </si>
  <si>
    <t>Briggs Marsh Easement</t>
  </si>
  <si>
    <t>revetment on Sachuest Point Rd with no beach present in 2015 along ~600 ft; 2 sandy beach segments; note that the northeast beach grades into gravelly till to the east; south beach is contiguous with Second Beach</t>
  </si>
  <si>
    <t>Camp Cronin &amp; Point Judith Lighthouse</t>
  </si>
  <si>
    <t>3 revetments, 1 breakwater; directly adjacent to Point Judith Breakwater</t>
  </si>
  <si>
    <t>Westerly Town Beach</t>
  </si>
  <si>
    <t>Watch Hill Fire District, Weekapaug Fire District</t>
  </si>
  <si>
    <t>2 parcels at either end of beach between 2 groins; beach fill; cabanas on the beach; groin and seawall on private development adjacent to southeast</t>
  </si>
  <si>
    <t>Napatree Point Beach</t>
  </si>
  <si>
    <t>separated from Napatree Point Beach by a section of rocky beach at the Point itself</t>
  </si>
  <si>
    <t>Misquamicut Beach tracts</t>
  </si>
  <si>
    <t>contiguous with Southeast Light tract to east and Mohegan Bluff protected tracts to west; sections of shoreline are rocky beach</t>
  </si>
  <si>
    <t xml:space="preserve">6 contiguous parcels immediately west of state Phelan Tract; one section of shoreline in 2015 is rocky beach </t>
  </si>
  <si>
    <t>Barlow Point</t>
  </si>
  <si>
    <t>7 contiguous parcels; one section of shoreline is rocky beach in 2015</t>
  </si>
  <si>
    <t>immediately adjacent to Black Rock public/NGO lands to east; Lewis-Dickens Farm composed of 2 adjacent tracts with northwest one also having an easement from the state of RI; most of shoreline composed of rocky beach in 2015</t>
  </si>
  <si>
    <t>owned by BILT with easement from TNC; adjacent parcel to north has expressed easement interest with TNC; all of shoreline composed of rocky beach in 2015</t>
  </si>
  <si>
    <t>all of shoreline composed of rocky beach in 2015</t>
  </si>
  <si>
    <t>some of shoreline composed of rocky beach in 2015</t>
  </si>
  <si>
    <t>fragmented into 3 parcels but connected by other municipal/NGO lands; section of shoreline immediately north of jetty to Great Salt Pond composed of rocky beach in 2015</t>
  </si>
  <si>
    <t>revetment at parking lot; sand fencing; ORV; beach segments fragmented in 3 sections but other public/NGO lands in between</t>
  </si>
  <si>
    <t>2 sections of revetment with no beach for ~758' &amp; ~191' in April 2016; breakwater at harbor at south end; parking lot and recreational facilities adjacent to beach</t>
  </si>
  <si>
    <t>USFWS (2002a), RI GIS (2016)</t>
  </si>
  <si>
    <t>USFWS (2002c), RI GIS (2016)</t>
  </si>
  <si>
    <t>USFWS (2002b), RI GIS (2016)</t>
  </si>
  <si>
    <t>USFWS (2002d), RI GIS (2016)</t>
  </si>
  <si>
    <t>New Shoreham Town Beach</t>
  </si>
  <si>
    <t>public beach, recreation easement</t>
  </si>
  <si>
    <t>RI GIS (2016), Town of Westerly RI GIS (2016) Parcel Data</t>
  </si>
  <si>
    <t>beach and dune fill; sand fencing; Town of Westerly owns 3 adjacent parcels, RI DEM has a recreation easemsnet</t>
  </si>
  <si>
    <t>Wuskenau Beach</t>
  </si>
  <si>
    <t>City of Groton</t>
  </si>
  <si>
    <t>2 groins; bulkhead / seawall on west side (~315'); historical beach fill before 1961; recreational facilities</t>
  </si>
  <si>
    <t>beach scraping; sand fencing; jetty at Alewife Cove inlet at south end; historical sediment placement before 1961; recreational facilities; boardwalk</t>
  </si>
  <si>
    <t>Dr. William A. Niering Natural Area Preserve</t>
  </si>
  <si>
    <t>occasional artificial opening of inlet to Goshen Cove</t>
  </si>
  <si>
    <t>2 groins near Goshen Cove inlet; occasional artificial opening of inlet to Goshen Cove</t>
  </si>
  <si>
    <t>CT ECO (2016)</t>
  </si>
  <si>
    <t>Seaside State Park</t>
  </si>
  <si>
    <t>CT ECO (2016), Haddad and Pilkey (1998)</t>
  </si>
  <si>
    <t>Visel (2009), CT ECO (2016)</t>
  </si>
  <si>
    <t>bulkheads/seawalls and 6 groins along entire shoreline with small pocket beaches &lt; 500 ft; historical beach fill in 1967; formerly Seaside Sanatorium, purchased by CT in 2014</t>
  </si>
  <si>
    <t>CT ECO (2016), CT DEEP (2016)</t>
  </si>
  <si>
    <t>n/a</t>
  </si>
  <si>
    <t>islet eroded after Hurricane Sandy and had only ~340 ft of sandy beach in April 2016; other pocket beach on spit also &lt;400 ft of sandy beach</t>
  </si>
  <si>
    <t>Approximate Length of Sandy Beach in 2015/2016 (miles)</t>
  </si>
  <si>
    <t>Hole-in-the-wall Beach</t>
  </si>
  <si>
    <t>1 groin; railroad tracks adjacent; revetment with no beach between the 2 pocket beaches; bulkhead/seawall at parking lot on southern end</t>
  </si>
  <si>
    <t>1 groin; railroad tracks adjacent; revetment with no beach at northeast end; bulkhead/seawall at parking lot on southern end</t>
  </si>
  <si>
    <t>1 terminal groin at Niantic River inlet; railroad tracks adjacent; revetment/seawall along railroad tracks and boardwalk, with no beach for &gt; 2,500' at west end</t>
  </si>
  <si>
    <t>Railroad Beach, Cini Memorial Park</t>
  </si>
  <si>
    <t>Seaside Avenue Open Space</t>
  </si>
  <si>
    <t>development and armor directly adjacent to east and west</t>
  </si>
  <si>
    <t>2 breakwaters; also includes rocky beach</t>
  </si>
  <si>
    <t>Jacob's Beach</t>
  </si>
  <si>
    <t>1 revetment (~50'), 1 groin; beach fill</t>
  </si>
  <si>
    <t>1 groin at south end; 6 revetments; wastewater treatment plant at north end</t>
  </si>
  <si>
    <t>2 revetments with lengthy section of shoreline with no sandy beach seaward of armor in 2015; Long Wharf Drive and I-95 directly adjacent to beach</t>
  </si>
  <si>
    <t>1 revetment; 9 groins; recreational facilities; beach raking</t>
  </si>
  <si>
    <t>2 pockets separated by Bradley Point rock outcrop; revetment at northeast end of eastern pocket; revetment along western pocket; groin at Cove River inlet at southwest end; possible beach fill</t>
  </si>
  <si>
    <t>Seabluff &amp; Prospect Beaches</t>
  </si>
  <si>
    <t>Gulf Beach</t>
  </si>
  <si>
    <t>City of Milford</t>
  </si>
  <si>
    <t>4 groins, 1 jetty, 1 bulkhead; beach fill; beach raking</t>
  </si>
  <si>
    <t>1 groin at south end; beach scraping and/or raking; recreational facilities; golf course; parking lots adjacent to beach</t>
  </si>
  <si>
    <t>CT ECO (2016), Town of Stratford GIS (http://metrocog.mapxpress.net/Stratford/)</t>
  </si>
  <si>
    <t>Town of Stratford, USFWS</t>
  </si>
  <si>
    <t>Long Beach West</t>
  </si>
  <si>
    <t>7 groins; beach fill; east portion owned by Town, west portion by US; habitat restoration project with removal of cottages in 2011</t>
  </si>
  <si>
    <t>revetment or bulkhead/seawall along 100% of park length; park beaches in pockets; dike/revetment with 3 groins to Fayerweather Island at southwest end; recreational facilities and parking lots</t>
  </si>
  <si>
    <t>City of Bridgeport</t>
  </si>
  <si>
    <t>large Penfield Pavilion directly adjacent to beach; sand fencing; beach raking</t>
  </si>
  <si>
    <t>Southport Beach</t>
  </si>
  <si>
    <t>2 groins, 1 revetment at Sasco Creek Inlet, bulkhead at parking lot adjacent to beach, beach fill</t>
  </si>
  <si>
    <t>revetment along entire length with very narrow beach seaward of armor</t>
  </si>
  <si>
    <t>Sasco Creek Beach</t>
  </si>
  <si>
    <t>CT ECO (2016), Town of Westport GIS (http://www.westportct.gov/index.aspx?page=538)</t>
  </si>
  <si>
    <t>jetty at Green Farms Brook inlet; revetment at Sherwood Point with no beach; groin and revetment at northwest boundary; beach fill; sand fencing; beach raking; recreational facilities</t>
  </si>
  <si>
    <t>bulkhead/seawall; recreational facilities; western portion rocky beach</t>
  </si>
  <si>
    <t>bulkhead/revetment on north and west sides, groin on southwest end</t>
  </si>
  <si>
    <t>south side beach is rocky</t>
  </si>
  <si>
    <t>CT ECO (2016), City of Norwalk GIS (http://host.cdmsmithgis.com/norwalkct/)</t>
  </si>
  <si>
    <t>Sixth Taxing District of Rowayton</t>
  </si>
  <si>
    <t>Bayley Beach, Neville Bayley Park</t>
  </si>
  <si>
    <t>City of Norwalk GIS (http://host.cdmsmithgis.com/norwalkct/)</t>
  </si>
  <si>
    <t>1 groin; revetment/seawall on east boundary; recreational facilities, paved walkways; beach raking</t>
  </si>
  <si>
    <t>Town of Darien</t>
  </si>
  <si>
    <t>CT ECO (2016), Town of Darien GIS (https://darienct.mapgeo.io/properties/05385?basemap=aerial-image-2013&amp;latlng=41.04607%2C-73.482877&amp;selected=05385&amp;themes=%5B%22land-conservation%22%5D&amp;zoom=18)</t>
  </si>
  <si>
    <t>2 groins, beach raking; parking lot directly adjacent to beach</t>
  </si>
  <si>
    <t>Cove Island Park</t>
  </si>
  <si>
    <t>2 jetties; beach fill; seawall/bulkhead; recreational facilities</t>
  </si>
  <si>
    <t>City of Stamford</t>
  </si>
  <si>
    <t>City of Stamford (http://www.stamfordct.gov/city-parks/pages/cove-island-park)</t>
  </si>
  <si>
    <t>West Beach, Cummings Park</t>
  </si>
  <si>
    <t>fragmented into separate pocket beaches; 7 revetments with several sections with no sandy beaches in September 2015; 2 groins; beach scraping; recreational facilities; parking lots; boat ramp and storage yard</t>
  </si>
  <si>
    <t>most of island's beach may be gravelly</t>
  </si>
  <si>
    <t>3 groins; island also contains rocky beaches</t>
  </si>
  <si>
    <t>Shell Island</t>
  </si>
  <si>
    <t>Greenwich Land Trust</t>
  </si>
  <si>
    <t>also contains rocky shoreline</t>
  </si>
  <si>
    <t>Greenwich Land Trust (https://gltrust.org)</t>
  </si>
  <si>
    <t>Great Captain Island</t>
  </si>
  <si>
    <t>nature preserve, park</t>
  </si>
  <si>
    <t>4 revetments; also contains sections of rocky beach</t>
  </si>
  <si>
    <t>Little Captain Island (aka Island Beach)</t>
  </si>
  <si>
    <t>revetment/seawall, groin</t>
  </si>
  <si>
    <t>CT ECO (2016), Town of Greenwich (http://www.greenwichct.org)</t>
  </si>
  <si>
    <t>Byram Park</t>
  </si>
  <si>
    <t>1 groin, seawalls, recreational facilities</t>
  </si>
  <si>
    <t>12 groins; revetments at south end; beach fill; beach scraping; sand fencing; parking lots and roadway directly adjacent to beach</t>
  </si>
  <si>
    <t>Lynde Point Land Trust</t>
  </si>
  <si>
    <t>fragmented into 2 parcels on the northeast and southwest sides of Lynde Point, with private development in between</t>
  </si>
  <si>
    <t>Lynde Point Land Trust Conservation Map (http://www.boroughoffenwick.com/lynde-point-land-trust)</t>
  </si>
  <si>
    <t>conservation easement (2 tracts), nature preserve (1 tract)</t>
  </si>
  <si>
    <t>Lynde Point</t>
  </si>
  <si>
    <t>USFWS (2008), Currituck County GIS (http://www.co.currituck.nc.us/interactive-online-mappingdup2.cfm)</t>
  </si>
  <si>
    <t>Currituck County GIS (http://www.co.currituck.nc.us/interactive-online-mappingdup2.cfm)</t>
  </si>
  <si>
    <t>Lighthouse Keeper House Parcel</t>
  </si>
  <si>
    <t>ORV; Corolla Village Rd ORV access immediately adjacent to south</t>
  </si>
  <si>
    <t>Monkey Island Tract</t>
  </si>
  <si>
    <t>Dare County GIS (http://gis.darecountync.gov/)</t>
  </si>
  <si>
    <t>NPS (2010), Dare County GIS (http://gis.darecountync.gov/)</t>
  </si>
  <si>
    <t>Duck Field Research Facility</t>
  </si>
  <si>
    <t>U.S. Army Corps of Engineers</t>
  </si>
  <si>
    <t>research facility</t>
  </si>
  <si>
    <t>Wilkins St Tract</t>
  </si>
  <si>
    <t>Town of Kitty Hawk</t>
  </si>
  <si>
    <t>Starfish Ln to Lillian St Tracts</t>
  </si>
  <si>
    <t>Kitty Hawk Rd to Perry St</t>
  </si>
  <si>
    <t>Ashville Dr Beach Access</t>
  </si>
  <si>
    <t>Town of Kill Devil Hills</t>
  </si>
  <si>
    <t>Town of Kitty Hawk, state of NC, TNC</t>
  </si>
  <si>
    <t>beach access</t>
  </si>
  <si>
    <t>private property development directly adjacent to north and south</t>
  </si>
  <si>
    <t>Prospect Ave Beach Access</t>
  </si>
  <si>
    <t>Woodmere Ave Beach Access</t>
  </si>
  <si>
    <t>Glenmere Ave Beach Access</t>
  </si>
  <si>
    <t>Ferris Ave Beach Access</t>
  </si>
  <si>
    <t>Raleigh Ave Beach Access</t>
  </si>
  <si>
    <t>Carlow Ave Beach Access</t>
  </si>
  <si>
    <t>Sutton Ave Beach Access</t>
  </si>
  <si>
    <t>Pinehurst Ave Beach Access</t>
  </si>
  <si>
    <t>Ocean Bay Blvd Beach Access</t>
  </si>
  <si>
    <t>Clark St Beach Access</t>
  </si>
  <si>
    <t>Martin St Beach Access</t>
  </si>
  <si>
    <t>Atlantic St Beach Access</t>
  </si>
  <si>
    <t>8th St Beach Access</t>
  </si>
  <si>
    <t>Towns of Kill Devil Hills &amp; Nags Head</t>
  </si>
  <si>
    <t>Town of Nags Head</t>
  </si>
  <si>
    <t>Albatross St Beach Access</t>
  </si>
  <si>
    <t>Abalone St Beach Access</t>
  </si>
  <si>
    <t>Admiral St Beach Access</t>
  </si>
  <si>
    <t>Baltic St Beach Access</t>
  </si>
  <si>
    <t>Barnes St Beach Access</t>
  </si>
  <si>
    <t>Blackman St Beach Access</t>
  </si>
  <si>
    <t>Bonnett St Beach Access</t>
  </si>
  <si>
    <t>Bittern St Beach Access</t>
  </si>
  <si>
    <t>Bladen St Beach Access</t>
  </si>
  <si>
    <t>Bainbridge St Beach Access</t>
  </si>
  <si>
    <t>Curlew St Beach Access</t>
  </si>
  <si>
    <t>Hollowell St Beach Access</t>
  </si>
  <si>
    <t>Conch St Beach Access</t>
  </si>
  <si>
    <t>Enterprise St Beach Access</t>
  </si>
  <si>
    <t>Loggerhead St Beach Access</t>
  </si>
  <si>
    <t>Epstein Beach Access</t>
  </si>
  <si>
    <t>Forrest St Beach Access</t>
  </si>
  <si>
    <t>Grouse St Beach Access</t>
  </si>
  <si>
    <t>Glidden St Beach Access</t>
  </si>
  <si>
    <t>Gull St Beach Access</t>
  </si>
  <si>
    <t>Gray Eagle St Beach Access</t>
  </si>
  <si>
    <t>Jenette's Pier</t>
  </si>
  <si>
    <t>Gulfstream St Beach Access</t>
  </si>
  <si>
    <t>Governor St Beach Access</t>
  </si>
  <si>
    <t>Huron St Beach Access</t>
  </si>
  <si>
    <t>Holden St Beach Access</t>
  </si>
  <si>
    <t>Bodie Island , Cape Hatteras NS</t>
  </si>
  <si>
    <t>Hardgrove St Beach Access</t>
  </si>
  <si>
    <t>Ida St Beach Access</t>
  </si>
  <si>
    <t>Isabella St Beach Access</t>
  </si>
  <si>
    <t>Indigo St Beach Access</t>
  </si>
  <si>
    <t>June St Beach Access</t>
  </si>
  <si>
    <t>Juncos St Beach Access</t>
  </si>
  <si>
    <t>Chicamacomico Historical Association</t>
  </si>
  <si>
    <t>Chicamacomico Life-Saving Station &amp; Museum</t>
  </si>
  <si>
    <t>Hatteras Island, Cape Hatteras NS</t>
  </si>
  <si>
    <t>historical site, museum</t>
  </si>
  <si>
    <t>Dare County</t>
  </si>
  <si>
    <t>site developed with parking and access facilities around 2015</t>
  </si>
  <si>
    <t>Rodanthe Beach Access</t>
  </si>
  <si>
    <t>Sea Haven Dr Parcels</t>
  </si>
  <si>
    <t>5 contiguous parcels on the ocean side of Sea Haven Dr and one large parcel on the inland side of the road</t>
  </si>
  <si>
    <t>Google Earth (2016), Carteret County GIS (http://www.carteretcountync.gov/469/GIS-Services)</t>
  </si>
  <si>
    <t>Town of Atlantic Beach</t>
  </si>
  <si>
    <t>The Circle Beach Access</t>
  </si>
  <si>
    <t>Morgan Hammer Park</t>
  </si>
  <si>
    <t>Town of Pine Knoll Shores</t>
  </si>
  <si>
    <t>Dogwood Circle Park</t>
  </si>
  <si>
    <t>Iron Steamer Regional Access</t>
  </si>
  <si>
    <t>public beach, beach access</t>
  </si>
  <si>
    <t>Salter Path Regional Access</t>
  </si>
  <si>
    <t>3rd St Park</t>
  </si>
  <si>
    <t>Town of Emerald Isle</t>
  </si>
  <si>
    <t>Park St Beach Access</t>
  </si>
  <si>
    <t>Emerald Isle Western Regional Access</t>
  </si>
  <si>
    <t>Town of North Topsail Beach</t>
  </si>
  <si>
    <t>Google Earth (2016), Onslow County GIS (http://maps2.roktech.net/onslow/#)</t>
  </si>
  <si>
    <t>New River Inlet Rd Parcels</t>
  </si>
  <si>
    <t>Onslow County Beach Access #4</t>
  </si>
  <si>
    <t>5th - 7th Avenues Beach Access</t>
  </si>
  <si>
    <t>10th Ave Beach Access</t>
  </si>
  <si>
    <t>Town of Surf City</t>
  </si>
  <si>
    <t>Pender St Beach Access</t>
  </si>
  <si>
    <t>Google Earth (2016), Pender County GIS (http://gis.pendercountync.gov/maps/)</t>
  </si>
  <si>
    <t>New Bern Ave Beach Access</t>
  </si>
  <si>
    <t>Goldsboro Ave Beach Access</t>
  </si>
  <si>
    <t>Greensboro Ave Beach Access</t>
  </si>
  <si>
    <t>Roland Ave Beach Access</t>
  </si>
  <si>
    <t>Kinston Ave Beach Access</t>
  </si>
  <si>
    <t>High Point Ave Beach Access</t>
  </si>
  <si>
    <t>Durham Ave Beach Access</t>
  </si>
  <si>
    <t>Charlotte Ave Beach Access</t>
  </si>
  <si>
    <t>Town of Topsail Beach</t>
  </si>
  <si>
    <t>Barwick St Beach Access</t>
  </si>
  <si>
    <t>Empie Ave Beach Access</t>
  </si>
  <si>
    <t>Haywood Ave Beach Access</t>
  </si>
  <si>
    <t>Davis Ave Beach Access</t>
  </si>
  <si>
    <t>Rocky Mount Ave Beach Access</t>
  </si>
  <si>
    <t>Crews Ave Beach Access</t>
  </si>
  <si>
    <t>Hines Ave Beach Access</t>
  </si>
  <si>
    <t>Scott Ave Beach Access</t>
  </si>
  <si>
    <t>Crocker Ave Beach Access</t>
  </si>
  <si>
    <t>Darden Ave Beach Access</t>
  </si>
  <si>
    <t>Smith Ave Beach Access</t>
  </si>
  <si>
    <t>Ocean Blvd Beach Access</t>
  </si>
  <si>
    <t>McLeod Ave Beach Access</t>
  </si>
  <si>
    <t>dredging activities at inlets at both ends of island, mix of land ownership and easements</t>
  </si>
  <si>
    <t>Town of Wrightsville Beach</t>
  </si>
  <si>
    <t>Wrightsville Beach Access #2</t>
  </si>
  <si>
    <t>Google Earth (2016), New Hanover County GIS (http://maps.nhcgov.com/)</t>
  </si>
  <si>
    <t>Wrightsville Beach Access #3</t>
  </si>
  <si>
    <t>Wrightsville Beach Access #4</t>
  </si>
  <si>
    <t>Wrightsville Beach Access #8</t>
  </si>
  <si>
    <t>Wrightsville Beach Access #16</t>
  </si>
  <si>
    <t>beach fill; jetty directly adjacent</t>
  </si>
  <si>
    <t>Wrightsville Beach Access #42 &amp; 43</t>
  </si>
  <si>
    <t>jetty at Masonboro Inlet; dredged material placement; artificial closure of inlet near north end in 1959; dredging/mining of inlet at both ends of island</t>
  </si>
  <si>
    <t>Tennessee Ave Beach Access</t>
  </si>
  <si>
    <t>South Carolina Ave Beach Access</t>
  </si>
  <si>
    <t>Texas Ave Beach Access</t>
  </si>
  <si>
    <t>Alabama Ave Beach Access</t>
  </si>
  <si>
    <t>Town of Kure Beach</t>
  </si>
  <si>
    <t>Kure Beach Ocean Front Park</t>
  </si>
  <si>
    <t>J Ave Beach Access</t>
  </si>
  <si>
    <t>I Ave Beach Access</t>
  </si>
  <si>
    <t>H Ave Beach Access</t>
  </si>
  <si>
    <t>G Ave Beach Access</t>
  </si>
  <si>
    <t>F Ave Beach Access</t>
  </si>
  <si>
    <t>E Ave Beach Access</t>
  </si>
  <si>
    <t>rock revetment near fort with 1,070 ft of shoreline with no beach in 2015; ORV</t>
  </si>
  <si>
    <t>Zeke's Island Reserve</t>
  </si>
  <si>
    <t>New Hanover and Brunswick</t>
  </si>
  <si>
    <t>state of NC, NOAA</t>
  </si>
  <si>
    <t>NERR, state coastal reserve</t>
  </si>
  <si>
    <t>Google Earth (2016), NC Coastal Reserves website (http://www.nccoastalreserve.net/web/crp/zekes-island)</t>
  </si>
  <si>
    <t>Bald Head Island State Natural Area</t>
  </si>
  <si>
    <t>Google Earth (2016), NC Natural Heritage Program Designated Nature Preserves data layer (https://ncnhde.natureserve.org/content/data-download)</t>
  </si>
  <si>
    <t>Google Earth (2016), Brunswick County GIS (http://gis.brunsco.net/gisweb/gis.aspx/)</t>
  </si>
  <si>
    <t>Town of Caswell Beach</t>
  </si>
  <si>
    <t>Oak Island Lighthouse Tract</t>
  </si>
  <si>
    <t>Town of Oak Island</t>
  </si>
  <si>
    <t>Commissioner's Observatory Park</t>
  </si>
  <si>
    <t>Oak Island Fishing Pier</t>
  </si>
  <si>
    <t>public beach, pier</t>
  </si>
  <si>
    <t>pier, beach fill</t>
  </si>
  <si>
    <t>Yaupon Park</t>
  </si>
  <si>
    <t>SE 55th St Beach Access</t>
  </si>
  <si>
    <t>SE 52nd St Beach Access</t>
  </si>
  <si>
    <t>SE 49th St Beach Access</t>
  </si>
  <si>
    <t>Oak Island Cabana</t>
  </si>
  <si>
    <t>SE 40th St Beach Access</t>
  </si>
  <si>
    <t>37th Place E Beach Access</t>
  </si>
  <si>
    <t>32nd Place E Beach Access</t>
  </si>
  <si>
    <t>25th Place E Beach Access</t>
  </si>
  <si>
    <t>15th Place E Beach Access</t>
  </si>
  <si>
    <t>3rd Place E Beach Access</t>
  </si>
  <si>
    <t>Middleton Ave Beach Access</t>
  </si>
  <si>
    <t>5th Place W Beach Access</t>
  </si>
  <si>
    <t>7th Place W Beach Access</t>
  </si>
  <si>
    <t>10th Place W Beach Access</t>
  </si>
  <si>
    <t>42nd Place W Beach Access</t>
  </si>
  <si>
    <t>51st Place W Beach Access</t>
  </si>
  <si>
    <t>54th Place W Beach Access</t>
  </si>
  <si>
    <t>57th Place W Beach Access</t>
  </si>
  <si>
    <t>The Point</t>
  </si>
  <si>
    <t>dredging of adjacent inlet</t>
  </si>
  <si>
    <t>Town of Holden Beach</t>
  </si>
  <si>
    <t>Avenue D Beach Access</t>
  </si>
  <si>
    <t>Avenue A Beach Access</t>
  </si>
  <si>
    <t>220 Ocean Blvd E Beach Access</t>
  </si>
  <si>
    <t>Ferry Rd Beach Access</t>
  </si>
  <si>
    <t>Quinton Ave Beach Access</t>
  </si>
  <si>
    <t>NC Agricultural Foundation</t>
  </si>
  <si>
    <t>NC Agricultural Foundation Preserve (Holden Beach)</t>
  </si>
  <si>
    <t>mining / dredging of adjacent Shallotte Inlet</t>
  </si>
  <si>
    <t>Town of Ocean Isle Beach</t>
  </si>
  <si>
    <t>Winnabow St Beach Access</t>
  </si>
  <si>
    <t>Chadbourne St Beach Access</t>
  </si>
  <si>
    <t>Goldsboro St Beach Access</t>
  </si>
  <si>
    <t>Leland St Beach Access</t>
  </si>
  <si>
    <t>Raeford St Beach Access</t>
  </si>
  <si>
    <t>Newport St Beach Access</t>
  </si>
  <si>
    <t>Concord St Beach Access</t>
  </si>
  <si>
    <t>Monroe St Beach Access</t>
  </si>
  <si>
    <t>Sunset Blvd Beach Access</t>
  </si>
  <si>
    <t>Town of Sunset Beach</t>
  </si>
  <si>
    <t>pier directly adjacent to west</t>
  </si>
  <si>
    <t>Bird Island Coastal Reserve</t>
  </si>
  <si>
    <t>state coastal reserve</t>
  </si>
  <si>
    <t>beach fill; RI-CT state line divides barrier island at northwest tip</t>
  </si>
  <si>
    <t>ORV, pond letting (artificial breaching of inlets)</t>
  </si>
  <si>
    <t>open space / passive park</t>
  </si>
  <si>
    <t>ORV ?</t>
  </si>
  <si>
    <t>jetty at Little River Inlet on south end (USACE owns 0.4 miles between reserve and jetty within SC)</t>
  </si>
  <si>
    <t>USFWS (2006a)</t>
  </si>
  <si>
    <t>Google Earth (2016), USFWS (2006b), Dare County GIS (http://gis.darecountync.gov/)</t>
  </si>
  <si>
    <t>MA CZM (2015a, 2015b), USFWS (2014d)</t>
  </si>
  <si>
    <t>groin at south end of oceanfront beach</t>
  </si>
  <si>
    <t>groin at northern boundary; section of rocky beach</t>
  </si>
  <si>
    <t>bulkhead along entire length; 6 groins; 5 offshore breakwaters at south end (0.41 mi); road and private development directly adjacent to beach</t>
  </si>
  <si>
    <t>handful of pockets &lt; 500' sandy beach in June 2015 imagery; revetment along entire length; groins</t>
  </si>
  <si>
    <t>public beach (0.84 mi total length)</t>
  </si>
  <si>
    <t>Pleasure Bay Beach</t>
  </si>
  <si>
    <t>bulkhead/seawall along entire beach; directly adjacent to road; beach raking</t>
  </si>
  <si>
    <t>City Point Beach at Point</t>
  </si>
  <si>
    <t>public beach (0.21 mi)</t>
  </si>
  <si>
    <t>bulkhead/seawall at both ends; beach raking</t>
  </si>
  <si>
    <t>M Street Beach</t>
  </si>
  <si>
    <t>Carson Beach</t>
  </si>
  <si>
    <t>bulkhead/seawalls; beach fill; directly adjacent to road</t>
  </si>
  <si>
    <t>bulkhead/seawall; groin at west end; directly adjacent to road</t>
  </si>
  <si>
    <t>Spectacle Island, Boston Harbors NRA</t>
  </si>
  <si>
    <t>Gallops Island, Boston Harbors NRA</t>
  </si>
  <si>
    <t>Peddocks Island, Boston Harbors NRA</t>
  </si>
  <si>
    <t>Grape Island, Boston Harbors NRA</t>
  </si>
  <si>
    <t>Bumpkin Island, Boston Harbors NRA</t>
  </si>
  <si>
    <t>Thompson Island, Boston Harbors NRA</t>
  </si>
  <si>
    <t>2 sections of revetment/bulkhead; some sections of beahc may be rocky beach</t>
  </si>
  <si>
    <t>3 revetments/bulkheads; only 2 areas of sandy beach in 2015</t>
  </si>
  <si>
    <t>3 revetments and 1 bulkhead with extensive shoreline with no sandy beach present in 2015; sections of rocky beach</t>
  </si>
  <si>
    <t>seawall on eastern tip along 0.30 mi with no beach in June 2015</t>
  </si>
  <si>
    <t>1 revetment, 2 bulkhead/seawalls, 1 breakwater</t>
  </si>
  <si>
    <t>1 groin, 2 bulkhead/seawalls</t>
  </si>
  <si>
    <t>section(s) of rocky beach</t>
  </si>
  <si>
    <t>Thompson Island Outward Bound Education Center</t>
  </si>
  <si>
    <t>mostly rocky beach in 2015</t>
  </si>
  <si>
    <t>1 revetment with no beach in 2015</t>
  </si>
  <si>
    <t>Webb Memorial State Park</t>
  </si>
  <si>
    <t>Hingham Town Beach</t>
  </si>
  <si>
    <t>Town of Hingham</t>
  </si>
  <si>
    <t>large parking lot directly adjacent to beach</t>
  </si>
  <si>
    <t>directly adjacent to road</t>
  </si>
  <si>
    <t>revetment at northwest end (~0.07 mi); beach fill; large parking lot directly adjacent to beach</t>
  </si>
  <si>
    <t>only one undeveloped park area, remaining has private development with bulkheads/seawalls directly adjacent to beach</t>
  </si>
  <si>
    <t>public beach (0.48 mi)</t>
  </si>
  <si>
    <t>park, public beach (total length 3.09 mi)</t>
  </si>
  <si>
    <t>3 groins and revetment at north tip of spit on inlet; 6 groins on oceanfront beach; revetment (~2.43 mi) and seawall/bulkhead (0.50 mi) along southern portion with no beach in front of most of either; private inholdings with buildings; ORV</t>
  </si>
  <si>
    <t>Ellis Landing Beach</t>
  </si>
  <si>
    <t>bulkhead/revetment directly adjacent to west</t>
  </si>
  <si>
    <t>Linnell Landing</t>
  </si>
  <si>
    <t>park, public beach (total length 0.30 mi)</t>
  </si>
  <si>
    <t>semi-public beach (1.98 mi)</t>
  </si>
  <si>
    <t>terminal groin on north side of adjacent Salt Pond Inlet; inlet relocated in 2003</t>
  </si>
  <si>
    <t>OLIVER (2016)</t>
  </si>
  <si>
    <t>revetment and groin field along private development adjacent to south; several fragmented parcels on Lieutenant Island</t>
  </si>
  <si>
    <t>Wharf Point Conservation Area</t>
  </si>
  <si>
    <t>Wellfleet Conservation Trust</t>
  </si>
  <si>
    <t>ORV, sand fencing, bulkhead/seawall directly adjacent to north</t>
  </si>
  <si>
    <t>Old Wharf Point</t>
  </si>
  <si>
    <t>Fox Island WMA</t>
  </si>
  <si>
    <t>wildlife management area</t>
  </si>
  <si>
    <t>Hardings Beach East</t>
  </si>
  <si>
    <t>Chatham Conservation Foundation</t>
  </si>
  <si>
    <t>beach fill (Morris Island)</t>
  </si>
  <si>
    <t>Stage Harbor Dike (Morris Island)</t>
  </si>
  <si>
    <t>Forest Beach</t>
  </si>
  <si>
    <t>terminal groin immediately to west on other shoulder of Red River Inlet</t>
  </si>
  <si>
    <t>MA CZM (2015a, 2015b), OLIVER (2016)</t>
  </si>
  <si>
    <t>Glendon Road Beach</t>
  </si>
  <si>
    <t>3 groins; bulkhead/seawall at parking lot directly adjacent to beach</t>
  </si>
  <si>
    <t>Haigis Beach</t>
  </si>
  <si>
    <t>1 groin; seawall along entire length; sand fencing</t>
  </si>
  <si>
    <t>Davis Beach</t>
  </si>
  <si>
    <t>bulkhead at parking lot; 1 groin at east end</t>
  </si>
  <si>
    <t>jetty on Bass River inlet at west end; wood bulkhead along long parking lot</t>
  </si>
  <si>
    <t>South Middle Beach</t>
  </si>
  <si>
    <t>Parkers River Beach</t>
  </si>
  <si>
    <t>Seaview Beach</t>
  </si>
  <si>
    <t>bulkhead/revetment along entire length; 1 groin</t>
  </si>
  <si>
    <t>Thachers Beach</t>
  </si>
  <si>
    <t>Seagull Beach</t>
  </si>
  <si>
    <t>jetty at Parker's River at east end; large parking lot at east end; beach raking</t>
  </si>
  <si>
    <t>24 privately owned groins; 3 revetments; The Trustees of Reservations has conservation restrictions on 266 acres</t>
  </si>
  <si>
    <t>Point Gammon</t>
  </si>
  <si>
    <t>11 groins, nearly continuous revetment; no beach seaward of armor for most of ~1,550' length of shoreline</t>
  </si>
  <si>
    <t>Kalmas Beach Park</t>
  </si>
  <si>
    <t>pier at south end</t>
  </si>
  <si>
    <t>1 groin; bulkhead on parking lot directly adjacent to beach</t>
  </si>
  <si>
    <t>Loops Beach</t>
  </si>
  <si>
    <t>Meadow Point Conservation Area</t>
  </si>
  <si>
    <t>Barnstable Land Trust</t>
  </si>
  <si>
    <t>dredging of adjacent Popponesset Bay inlet</t>
  </si>
  <si>
    <t>beach fill; private property adjacent to beach at south end</t>
  </si>
  <si>
    <t>1 groin; private property with several bulkheads/seawalls adjacent at south end</t>
  </si>
  <si>
    <t>Popponesset Beach</t>
  </si>
  <si>
    <t>Popponesset Beach Access</t>
  </si>
  <si>
    <t>Popponesset Beach Association</t>
  </si>
  <si>
    <t>overlays Popponesset Beach tracts owned by Mass Audubon, Popponesset Beach Assoc. and state, as well as lengthy section of shoreline with private development directly adjacent</t>
  </si>
  <si>
    <t>public beach (0.71 mi)</t>
  </si>
  <si>
    <t>South Cape Beach Town Park</t>
  </si>
  <si>
    <t>jetty at Waquoit Bay inlet at west end; fragmented into 2 parcels separated by South Cape Beach Town Park</t>
  </si>
  <si>
    <t>beach fill; large parking lot adjacent to beach</t>
  </si>
  <si>
    <t>jetty at Waquoit Bay inlet at east end; dredging of Eel Pond inlet at west end</t>
  </si>
  <si>
    <t>terminal groin</t>
  </si>
  <si>
    <t>Menauhant Yacht Club Beach</t>
  </si>
  <si>
    <t>Haddad Beach</t>
  </si>
  <si>
    <t>5 groins; beach fill; seawall along almost entire beach, &gt;1,300 ft with no beach present in 2015; parking lot and Grand Avenue adjacent to beach; 1 private inholding fragments public beach into 2 sections</t>
  </si>
  <si>
    <t>1 breakwater; 1 groin; 2 bulkhead/seawalls around large parking lot at east end; 1 jetty at Siders Pond outlet at west end of main beach area; Surf Drive adjacent to beach; fragmented into numerous parcels with private inholdings</t>
  </si>
  <si>
    <t>Shining Sea Bikeway</t>
  </si>
  <si>
    <t>revetments; armored outlet to Oyster Pond; bikeway directly adjacent to beach</t>
  </si>
  <si>
    <t>Stoney Beach</t>
  </si>
  <si>
    <t>park, semi-public beach (total length 0.10 mi)</t>
  </si>
  <si>
    <t>2 groins; tennis court and parking area adjacent to beach at west end; private development with bulkhead/seawall adjacent to beach at east end</t>
  </si>
  <si>
    <t>Woods Hole Marine Biological Laboratory</t>
  </si>
  <si>
    <t>The Knob</t>
  </si>
  <si>
    <t>Salt Pond Areas Bird Sanctuaries</t>
  </si>
  <si>
    <t>Salt Pond Areas Bird Sanctuaries, Mass Audubon</t>
  </si>
  <si>
    <t>revetment at the Knob at west end with no beach present in 2015</t>
  </si>
  <si>
    <t>Great Sippewissett Marsh</t>
  </si>
  <si>
    <t>Great Sippewissett Marsh (Black Beach)</t>
  </si>
  <si>
    <t>Town of Falmouth, Salt Pond Areas Bird Sanctuaries</t>
  </si>
  <si>
    <t>10 adjacent parcels with 1 private inholding; revetment at north end</t>
  </si>
  <si>
    <t>1 groin; revetment (woth no beach in 2015) and Chapoquoit Road directly adjacent to beach</t>
  </si>
  <si>
    <t>semi-public beach (0.15 mi)</t>
  </si>
  <si>
    <t>Lawrence Island</t>
  </si>
  <si>
    <t>Bourne Conservation Trust</t>
  </si>
  <si>
    <t>Bourne Conservation Trust, Animal Rescue League of Boston</t>
  </si>
  <si>
    <t>the Trust owns the north portion of the island/spit, the ARL the southern portion</t>
  </si>
  <si>
    <t>Bassetts Island Landing</t>
  </si>
  <si>
    <t>Monks Marine Park</t>
  </si>
  <si>
    <t>Tobys Island</t>
  </si>
  <si>
    <t>Tahanto Associates, Inc.</t>
  </si>
  <si>
    <t>Tahanto Beach</t>
  </si>
  <si>
    <t>jetty at Pocasset River inlet at west end; 1 groin; private development and Tahanto Rd directly adjacent to central part of beach</t>
  </si>
  <si>
    <t>Piney Point Beach Club</t>
  </si>
  <si>
    <t>Aucot Cove Conservation Area</t>
  </si>
  <si>
    <t>2 groins (1 detached)</t>
  </si>
  <si>
    <t>public beaches (total length 0.30 mi)</t>
  </si>
  <si>
    <t>Nashawena Island</t>
  </si>
  <si>
    <t>most of island shoreline is rocky beach</t>
  </si>
  <si>
    <t>Pekinese Island Sanctuary</t>
  </si>
  <si>
    <t>Cuttyhunk Island Easement</t>
  </si>
  <si>
    <t>beach fill; jetty at south end</t>
  </si>
  <si>
    <t>Point Independence Beach</t>
  </si>
  <si>
    <t>beach fill, seawalls/revetments, private property directly adjacent</t>
  </si>
  <si>
    <t>Onset Beach</t>
  </si>
  <si>
    <t>beach fill, sand fencing, parking lot on pier protruding into bay with bulkhead</t>
  </si>
  <si>
    <t>most of dike is armored with a revetment but 4 beach segments total 0.83 miles</t>
  </si>
  <si>
    <t>Gray Easement</t>
  </si>
  <si>
    <t>1 revetment</t>
  </si>
  <si>
    <t>public beach (total length 0.46 mi)</t>
  </si>
  <si>
    <t>2 revetments at boat ramp; 3 groins; parking lots and private development adjacent to beach</t>
  </si>
  <si>
    <t>Gleason Cromesett Preserve</t>
  </si>
  <si>
    <t>revetment and private development immediately to south</t>
  </si>
  <si>
    <t>Aucot Road Town Beach</t>
  </si>
  <si>
    <t>Avenue B Beach</t>
  </si>
  <si>
    <t>Peases Point Improvement Association</t>
  </si>
  <si>
    <t>Mattapoisett Town Beach</t>
  </si>
  <si>
    <t>2 groins; armored shorelines with no beach adjacent to east and west</t>
  </si>
  <si>
    <t>Mattapoisett Harbor Public Beach</t>
  </si>
  <si>
    <t>YMCA of New Bedford</t>
  </si>
  <si>
    <t>development and recreational facilities at north end</t>
  </si>
  <si>
    <t>YMCA Beach</t>
  </si>
  <si>
    <t>semi-public beach (0.13 mi)</t>
  </si>
  <si>
    <t>6 groins; 2 bulkheads/seawalls; private property adjacent to most of shoreline, some areas without beach in 2015</t>
  </si>
  <si>
    <t>sandy beaches are interspersed with rocky beaches</t>
  </si>
  <si>
    <t>groin at Westport River inlet at west end; beach fill</t>
  </si>
  <si>
    <t>3 groins; boat ramp; fragmented in 4 tracts (2 small, 2 large); very large parking lots on main west beach; possible beach fill</t>
  </si>
  <si>
    <t>Westport Harbor Lighthouse</t>
  </si>
  <si>
    <t>Westport Land Conservation Trust</t>
  </si>
  <si>
    <t>Westport Harbor Improvement Corp.</t>
  </si>
  <si>
    <t>Nonquitt Marsh</t>
  </si>
  <si>
    <t>Dartmouth Natural Resources Trust</t>
  </si>
  <si>
    <t>1 bulkhead/seawall, 1 channelized inlet</t>
  </si>
  <si>
    <t>Round Hill Condos Association</t>
  </si>
  <si>
    <t>Salter's Point Improvement Association</t>
  </si>
  <si>
    <t>Clagett Easement</t>
  </si>
  <si>
    <t>Slocums Neck Easement</t>
  </si>
  <si>
    <t>periodic dredging/relocation of Allens Pond Inlet adjacent to west</t>
  </si>
  <si>
    <t>Allens Pond Wildlife Sanctuary</t>
  </si>
  <si>
    <t>wildlife sanctuary</t>
  </si>
  <si>
    <t>fragmented in 8 segments (12 total parcels) with private property between; periodic dredging/relocation of Allens Pond Inlet</t>
  </si>
  <si>
    <t>East Chop Beach</t>
  </si>
  <si>
    <t>East Chop Association</t>
  </si>
  <si>
    <t>semi-public beach, conservation easement</t>
  </si>
  <si>
    <t>Dukes County (2015a), MA CZM (2015a, 2015b), OLIVER (2016)</t>
  </si>
  <si>
    <t>Oak Bluffs Town Beach</t>
  </si>
  <si>
    <t>revetment along entire length; jetty at north end</t>
  </si>
  <si>
    <t>Marinelli Beach</t>
  </si>
  <si>
    <t>Seaview (Pay &amp; Inkwell) Beach</t>
  </si>
  <si>
    <t>3 groins; 2 sections of bulkhead/seawall along Seaview Ave adjacent to beach; beach fill</t>
  </si>
  <si>
    <t>Ox Pond Meadow and Little Beach Preserve</t>
  </si>
  <si>
    <t>Town of Edgartown</t>
  </si>
  <si>
    <t>Lighthouse Beach</t>
  </si>
  <si>
    <t>Chappy Point Beach</t>
  </si>
  <si>
    <t>Martha's Vineyard Land Bank Commission, Town of Edgartown</t>
  </si>
  <si>
    <t>bulkhead/seawall at ferry landing</t>
  </si>
  <si>
    <t>Chappaquiddick Road Preserve</t>
  </si>
  <si>
    <t>bulkhead/seawall immediately to north on adjacent property</t>
  </si>
  <si>
    <t>North Neck Highlands Preserve</t>
  </si>
  <si>
    <t>private development directly adjacent</t>
  </si>
  <si>
    <t>North Neck Road Tract</t>
  </si>
  <si>
    <t>Wasque Point WMA (Leland Beach)</t>
  </si>
  <si>
    <t>WMA, nature preserve</t>
  </si>
  <si>
    <t>in 2015 the beach is not directly located on the Atlantic Ocean shoreline, with the closure of the inlet to Katama Bay and attachment of the Norton Point spit to Wasque Point</t>
  </si>
  <si>
    <t>South (Katama) Beach State Park</t>
  </si>
  <si>
    <t>public beach, state park</t>
  </si>
  <si>
    <t>Herring Creek Farm Conservation Area</t>
  </si>
  <si>
    <t>Town of Edgartown Conservation Commission</t>
  </si>
  <si>
    <t>Edgartown Great Pond Beach</t>
  </si>
  <si>
    <t>ORV; periodic artificial opening of inlet to Edgartown Great Pond adjacent to west</t>
  </si>
  <si>
    <t>Mashacket Beach</t>
  </si>
  <si>
    <t>ORV; periodic artificial opening of inlet to Edgartown Great Pond adjacent to east</t>
  </si>
  <si>
    <t>Schley Easement</t>
  </si>
  <si>
    <t>ORV; private development adjacent</t>
  </si>
  <si>
    <t>Tisbury Great Pond Beach</t>
  </si>
  <si>
    <t>several adjacent parcels with private property to east and west</t>
  </si>
  <si>
    <t>Quansoo Beach Preserve</t>
  </si>
  <si>
    <t>most of beach sediment supply is from coastal banks (bluffs) eroding, so beaches may have rocky sections and landslides periodically blocking beach; majority of island shoreline is rocky beach</t>
  </si>
  <si>
    <t>a privately owned parcel is adjacent to the Foundation tract on the seaward side, but the beach appears to have retreated on to the Foundation tract by March 2012</t>
  </si>
  <si>
    <t>Moshup Trail Conservation Area</t>
  </si>
  <si>
    <t>Indian Lands Preserve</t>
  </si>
  <si>
    <t>public beach, nature preserve</t>
  </si>
  <si>
    <t>Dogfish Bar Beach Access</t>
  </si>
  <si>
    <t xml:space="preserve">2 sections; nearly all of the 0.87 mile southern shoreline and most of the 0.40 mile northern shoreline is rocky beach </t>
  </si>
  <si>
    <t>2 tracts separated by private property; some areas of rocky beach</t>
  </si>
  <si>
    <t>The Trustees of Reservations have easements on 3 adjacent large tracts, immediately south of the Cedar Tree Neck Sanctuary</t>
  </si>
  <si>
    <t>Seven Gates Easements</t>
  </si>
  <si>
    <t>Pilot Hill Farm Conservation Area</t>
  </si>
  <si>
    <t>revetment with no beach immediately to west</t>
  </si>
  <si>
    <t>Emmet Easement</t>
  </si>
  <si>
    <t>groin immediately to west</t>
  </si>
  <si>
    <t>Herring Creek Beach</t>
  </si>
  <si>
    <t>Town of Tisbury</t>
  </si>
  <si>
    <t>public beach (0.04 mi)</t>
  </si>
  <si>
    <t>2 groins; no sandy beach &gt; 500 ft present in 2015 due to armor</t>
  </si>
  <si>
    <t>Wilfrids Pond Preserve</t>
  </si>
  <si>
    <t>West Chop Lighthouse</t>
  </si>
  <si>
    <t>revetment; groins to north and south</t>
  </si>
  <si>
    <t>West Chop Scenic Vista</t>
  </si>
  <si>
    <t>development on half of property; revetment on private property adjacent to south</t>
  </si>
  <si>
    <t>Owen Little Way Beach</t>
  </si>
  <si>
    <t>pier with boat docks</t>
  </si>
  <si>
    <t>Owen Park Beach</t>
  </si>
  <si>
    <t>MA CZM (2015a, 2015b), Nantucket County (2015), NCF (2015), OLIVER (2016)</t>
  </si>
  <si>
    <t>USFWS (2013), MA CZM (2015a, 2015b), Nantucket County (2015), NCF (2015), OLIVER (2016)</t>
  </si>
  <si>
    <t>Conover Easements</t>
  </si>
  <si>
    <t>pond is breached annually south of the tract; fragmented into 3 beachfront parcels</t>
  </si>
  <si>
    <t>Sankaty Beach</t>
  </si>
  <si>
    <t>Town-owned beach continues north seaward of private development</t>
  </si>
  <si>
    <t>Low Beach</t>
  </si>
  <si>
    <t>Nantucket Islands Land Bank, Town of Nantucket</t>
  </si>
  <si>
    <t>15 parcels in 5 segments separated by privately-owned parcels</t>
  </si>
  <si>
    <t>Wanoma Way Beach</t>
  </si>
  <si>
    <t>Tom Nevers Road beach (aka Navy Base)</t>
  </si>
  <si>
    <t>habitat fragmentation due to preserves consisting of 28 parcels, 3 segments with beachfront</t>
  </si>
  <si>
    <t>Miacomet &amp; Sewerbeds Beach</t>
  </si>
  <si>
    <t>Smooth Hummocks Coastal Preserve</t>
  </si>
  <si>
    <t>2 segments</t>
  </si>
  <si>
    <t>Nantucket Islands Land Bank, Nantucket Conservation Foundation, Town of Nantucket</t>
  </si>
  <si>
    <t>Miacoment Heath WMA</t>
  </si>
  <si>
    <t>2 segements separated by 1 private property</t>
  </si>
  <si>
    <t>Nantucket Conservation Foundation, Nantucket Islands Land Bank</t>
  </si>
  <si>
    <t>Ram Pasture</t>
  </si>
  <si>
    <t>Madaket Wildlife Sanctuary</t>
  </si>
  <si>
    <t>2 segments on both ocean and cove shorelines</t>
  </si>
  <si>
    <t>4 segments of beachfront; historical ditching of salt marsh now exposed in peat/marsh sediments on some areas of beach</t>
  </si>
  <si>
    <t>40th Pole 1 Beach / Fishers Landing</t>
  </si>
  <si>
    <t>public beach extends farther west seaward of private development</t>
  </si>
  <si>
    <t>Capaum Pond Conservation Area</t>
  </si>
  <si>
    <t>Tupancy Links</t>
  </si>
  <si>
    <t>private development immediately adjacent to east and west</t>
  </si>
  <si>
    <t>Reed Pond Easement</t>
  </si>
  <si>
    <t>Nantucket Land Council</t>
  </si>
  <si>
    <t>Jetties Beach Recreation Area</t>
  </si>
  <si>
    <t>jetty for Nantucket Harbor inlet</t>
  </si>
  <si>
    <t>Brant Point Lighthouse</t>
  </si>
  <si>
    <t>Nantucket Islands Land Bank, Muskeget Island Land Trust</t>
  </si>
  <si>
    <t>Taylor Easement, Tuckernuck Island</t>
  </si>
  <si>
    <t>Tuckernuck Island</t>
  </si>
  <si>
    <t>2 beachfront tracts, most of 1 is rocky beach</t>
  </si>
  <si>
    <t>Coffin Easement, Tuckernuck Island</t>
  </si>
  <si>
    <t>conservation easement, nature preserve</t>
  </si>
  <si>
    <t>2 adjacent beachfront parcels with all rocky beach in 2015</t>
  </si>
  <si>
    <t>Salt Box Easement, Tuckernuck Island</t>
  </si>
  <si>
    <t>North Head &amp; Howard/Harper Easements, Tuckernuck Island</t>
  </si>
  <si>
    <t>Phinney / Stevens Easement, Tuckernuck Island</t>
  </si>
  <si>
    <t>Hussey &amp; Stone Easements, Tuckernuck Island</t>
  </si>
  <si>
    <t>groin adjacent to east</t>
  </si>
  <si>
    <t>Tristam, Carlisle &amp; Lafarge Tuckernuck Trust Easements, Tuckernuck Island</t>
  </si>
  <si>
    <t>Nantucket Land Council, The Trustees of Reservations</t>
  </si>
  <si>
    <t>Lafarge Tuckernuck Trust Easement, Tuckernuck Island</t>
  </si>
  <si>
    <t>Stone East End Easement, Tuckernuck Island</t>
  </si>
  <si>
    <t>Howard &amp; Hopkins Easements, Tuckernuck Island</t>
  </si>
  <si>
    <t>the Town owns the northernmost 3 miles of South Beach south of Chatham Inlet, plus 4 of the 5 islets present in the inlet complex in 2015; all are within Cape Cod NS jurisdiction</t>
  </si>
  <si>
    <t>Kate Iaquinto, USFWS, pers. communication (1/23/2017); Mark Adams, NPS, pers. communication (1/25/2017)</t>
  </si>
  <si>
    <t>South Beach / Chatham Inlet islets</t>
  </si>
  <si>
    <t>Percent of Sandy Beach in Public/NGO Ownership in 2015</t>
  </si>
  <si>
    <t>Total State Length of Sandy Beach in 2015 (miles)</t>
  </si>
  <si>
    <t>ONLY PUBLIC &amp; NGO LANDS WITH SANDY BEACHES ARE INCLUDED HERE - NUMEROUS OTHER PUBLIC / NGO LANDS WITHOUT SANDY BEACHES EXIST BUT ARE NOT INCLUDED HERE</t>
  </si>
  <si>
    <t>Other references are listed in the accompanying report Rice (2017) - "Inventory of Habitat Modifications to Sandy Oceanfront Beaches in the U.S. Atlantic Coast Breeding Range of the Piping Plover (Charadrius melodus) as of 2015:  Maine to North Carolina"</t>
  </si>
  <si>
    <t>References are listed in the accompanying report Rice (2017) - "Inventory of Habitat Modifications to Sandy Oceanfront Beaches in the U.S. Atlantic Coast Breeding Range of the Piping Plover (Charadrius melodus) as of 2015:  Maine to North Carolina"</t>
  </si>
  <si>
    <t>Parcels in shaded rows are beaches that are in public or NGO ownership but the property immediately adjacent to the beach is privately owned and in most cases developed</t>
  </si>
  <si>
    <t>concrete pier; scheduled beach fill at north end in 2017</t>
  </si>
  <si>
    <t>sand fencing, directly adjacent to road; beach fill scheduled in 2017</t>
  </si>
  <si>
    <t>sandbag revetment, directly adjacent to road; beach fill scheduled in 2017</t>
  </si>
  <si>
    <t>private property development directly adjacent to north and south; beach fill scheduled in 2017</t>
  </si>
  <si>
    <t>beach fill; private property development directly adjacent to north and south</t>
  </si>
  <si>
    <t>beach fill; ORV; private property development directly adjacent to north and south</t>
  </si>
  <si>
    <t>beach fill; ORV, sand fencing, private property development directly adjacent to north and south</t>
  </si>
  <si>
    <t>beach fill; sand fencing, private property development directly adjacent to north and south</t>
  </si>
  <si>
    <t>beach fill; pier, sand fencing, private property development directly adjacent to north and south</t>
  </si>
  <si>
    <t>beach fill; ORV, private property development directly adjacent to north and south</t>
  </si>
  <si>
    <t>beach fill; pier directly adjacent to south, private property development directly adjacent to north and south</t>
  </si>
  <si>
    <t>ORV; beach nourishment at Nags Head updrift of north boundary; dredging of Oregon Inlet at south end</t>
  </si>
  <si>
    <t>Ocracoke Island, Cape Hatteras NS</t>
  </si>
  <si>
    <t>ORV; dredged material placement</t>
  </si>
  <si>
    <t>maintenance of dune ridge and NC 12 by NC DOT; artificial closure of Buxton Inlet in 1962, Isabel Inlet in 2003 and Rodanthe Breach in 2011; artificial creation of dune ridge in 1930s; inholding developed communities; historic hard stabilization and beach nourishment at Cape Hatteras lighthouse; ORV; dredged sediment placement at Frisco and Hatteras; beach fill at Buxton scheduled 2017</t>
  </si>
  <si>
    <t>ORV; feral horses; landlocked jetty and groins at Beaufort Inlet on Shackleford Banks; dredging activities at Barden and Beaufort Inlets; historical dredging and dredged material placement at Drum Inlet; few rental cabins</t>
  </si>
  <si>
    <t>jetty at Beaufort Inlet; groin; historic fort; dredged sediment placement</t>
  </si>
  <si>
    <t>seawalls along boardwalk; beach fill; beach scraping; ORV</t>
  </si>
  <si>
    <t>beach fill; sand fencing; private development directly adjacent to east and west</t>
  </si>
  <si>
    <t>beach fill; public beach; private development landward of state-owned dune and beach system</t>
  </si>
  <si>
    <t>beach fill; private property development directly adjacent to east and west</t>
  </si>
  <si>
    <t>beach fill; former pier site; large parking lot</t>
  </si>
  <si>
    <t>sand fencing, recreational facilities on beach, beach fill proposed</t>
  </si>
  <si>
    <t>Town owns 9 contiguous parcels between 5th and 7th Ave plus 2 non-contiguous parcels near 8th Ave; beach fill proposed</t>
  </si>
  <si>
    <t>The Town owns 3 contiguous beachfront parcels at 10th Ave. plus one non-contiguous parcel between 11th and 12th Avenues; beach fill proposed</t>
  </si>
  <si>
    <t>relocation of Mason Inlet at north end; beach fill; dredging activities at Mason Inlet; mix of land ownership and easement</t>
  </si>
  <si>
    <t>dredged material placement; ORV; camping on beach; dredging/mining of Carolina Beach Inlet at north end</t>
  </si>
  <si>
    <t>private development adjacent to both north and west</t>
  </si>
  <si>
    <t>only rocky beach present in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</si>
</sst>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theme="1"/>
      <name val="Calibri"/>
      <family val="2"/>
      <scheme val="minor"/>
    </font>
    <font>
      <b/>
      <sz val="11"/>
      <name val="Calibri"/>
      <family val="2"/>
      <scheme val="minor"/>
    </font>
    <font>
      <sz val="11"/>
      <color theme="9"/>
      <name val="Calibri"/>
      <family val="2"/>
      <scheme val="minor"/>
    </font>
    <font>
      <sz val="10"/>
      <name val="Arial"/>
      <family val="2"/>
    </font>
    <font>
      <b/>
      <sz val="11"/>
      <color rgb="FFFF0000"/>
      <name val="Calibri"/>
      <family val="2"/>
      <scheme val="minor"/>
    </font>
    <font>
      <sz val="11"/>
      <color rgb="FF000000"/>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rgb="FFFFFF00"/>
        <bgColor indexed="64"/>
      </patternFill>
    </fill>
  </fills>
  <borders count="1">
    <border>
      <left/>
      <right/>
      <top/>
      <bottom/>
      <diagonal/>
    </border>
  </borders>
  <cellStyleXfs count="4">
    <xf numFmtId="0" fontId="0" fillId="0" borderId="0"/>
    <xf numFmtId="9" fontId="4" fillId="0" borderId="0" applyFont="0" applyFill="0" applyBorder="0" applyAlignment="0" applyProtection="0"/>
    <xf numFmtId="0" fontId="7" fillId="0" borderId="0"/>
    <xf numFmtId="0" fontId="7" fillId="0" borderId="0"/>
  </cellStyleXfs>
  <cellXfs count="93">
    <xf numFmtId="0" fontId="0" fillId="0" borderId="0" xfId="0"/>
    <xf numFmtId="0" fontId="2" fillId="0" borderId="0" xfId="0" applyFont="1" applyAlignment="1">
      <alignment horizontal="center"/>
    </xf>
    <xf numFmtId="0" fontId="1" fillId="0" borderId="0" xfId="0" applyFont="1"/>
    <xf numFmtId="0" fontId="1" fillId="0" borderId="0" xfId="0" applyFont="1" applyAlignment="1">
      <alignment horizontal="center"/>
    </xf>
    <xf numFmtId="0" fontId="3" fillId="0" borderId="0" xfId="0" applyFont="1" applyFill="1"/>
    <xf numFmtId="164" fontId="2" fillId="0" borderId="0" xfId="0" applyNumberFormat="1" applyFont="1" applyAlignment="1">
      <alignment horizontal="center"/>
    </xf>
    <xf numFmtId="164" fontId="3" fillId="0" borderId="0" xfId="0" applyNumberFormat="1" applyFont="1" applyAlignment="1">
      <alignment horizontal="center"/>
    </xf>
    <xf numFmtId="0" fontId="2" fillId="0" borderId="0" xfId="0" applyFont="1" applyAlignment="1">
      <alignment horizontal="right"/>
    </xf>
    <xf numFmtId="0" fontId="0" fillId="0" borderId="0" xfId="0" applyFont="1" applyAlignment="1">
      <alignment horizontal="left"/>
    </xf>
    <xf numFmtId="0" fontId="0" fillId="0" borderId="0" xfId="0"/>
    <xf numFmtId="0" fontId="0" fillId="0" borderId="0" xfId="0" applyFont="1" applyAlignment="1"/>
    <xf numFmtId="0" fontId="3" fillId="0" borderId="0" xfId="0" applyFont="1" applyAlignment="1">
      <alignment horizontal="left"/>
    </xf>
    <xf numFmtId="0" fontId="0" fillId="0" borderId="0" xfId="0" applyFont="1" applyAlignment="1">
      <alignment horizontal="center" wrapText="1"/>
    </xf>
    <xf numFmtId="0" fontId="0" fillId="0" borderId="0" xfId="0"/>
    <xf numFmtId="0" fontId="0" fillId="0" borderId="0" xfId="0" applyFont="1" applyAlignment="1">
      <alignment horizontal="left"/>
    </xf>
    <xf numFmtId="0" fontId="3" fillId="0" borderId="0" xfId="0" applyFont="1"/>
    <xf numFmtId="0" fontId="0" fillId="0" borderId="0" xfId="0"/>
    <xf numFmtId="0" fontId="2" fillId="0" borderId="0" xfId="0" applyFont="1" applyAlignment="1">
      <alignment horizontal="center" wrapText="1"/>
    </xf>
    <xf numFmtId="0" fontId="0" fillId="0" borderId="0" xfId="0" applyFont="1" applyAlignment="1">
      <alignment horizontal="left"/>
    </xf>
    <xf numFmtId="0" fontId="0" fillId="0" borderId="0" xfId="0" applyFont="1" applyAlignment="1">
      <alignment horizontal="center"/>
    </xf>
    <xf numFmtId="0" fontId="0" fillId="0" borderId="0" xfId="0" applyAlignment="1">
      <alignment horizontal="center"/>
    </xf>
    <xf numFmtId="0" fontId="3" fillId="0" borderId="0" xfId="0" applyFont="1"/>
    <xf numFmtId="0" fontId="3" fillId="0" borderId="0" xfId="0" applyFont="1" applyAlignment="1">
      <alignment horizontal="center"/>
    </xf>
    <xf numFmtId="0" fontId="3" fillId="0" borderId="0" xfId="0" applyFont="1"/>
    <xf numFmtId="0" fontId="6" fillId="0" borderId="0" xfId="0" applyFont="1"/>
    <xf numFmtId="0" fontId="0" fillId="0" borderId="0" xfId="0"/>
    <xf numFmtId="0" fontId="3" fillId="0" borderId="0" xfId="0" applyFont="1" applyAlignment="1">
      <alignment horizontal="center" wrapText="1"/>
    </xf>
    <xf numFmtId="0" fontId="3" fillId="0" borderId="0" xfId="0" applyFont="1" applyFill="1" applyAlignment="1">
      <alignment horizontal="center"/>
    </xf>
    <xf numFmtId="164" fontId="3" fillId="0" borderId="0" xfId="0" applyNumberFormat="1" applyFont="1" applyFill="1" applyAlignment="1">
      <alignment horizontal="center"/>
    </xf>
    <xf numFmtId="1" fontId="3" fillId="0" borderId="0" xfId="0" applyNumberFormat="1" applyFont="1" applyFill="1" applyAlignment="1">
      <alignment horizontal="center"/>
    </xf>
    <xf numFmtId="0" fontId="3" fillId="0" borderId="0" xfId="0" applyFont="1" applyFill="1" applyAlignment="1">
      <alignment horizontal="left"/>
    </xf>
    <xf numFmtId="2" fontId="0" fillId="0" borderId="0" xfId="0" applyNumberFormat="1" applyFont="1" applyAlignment="1">
      <alignment horizontal="center"/>
    </xf>
    <xf numFmtId="0" fontId="0" fillId="0" borderId="0" xfId="0" applyFont="1" applyFill="1" applyAlignment="1">
      <alignment horizontal="left"/>
    </xf>
    <xf numFmtId="0" fontId="0" fillId="0" borderId="0" xfId="0" applyFont="1" applyFill="1" applyAlignment="1">
      <alignment horizontal="center" wrapText="1"/>
    </xf>
    <xf numFmtId="0" fontId="0" fillId="0" borderId="0" xfId="0" applyFill="1" applyAlignment="1">
      <alignment horizontal="center"/>
    </xf>
    <xf numFmtId="0" fontId="1" fillId="0" borderId="0" xfId="0" applyFont="1" applyFill="1" applyAlignment="1">
      <alignment horizontal="center"/>
    </xf>
    <xf numFmtId="0" fontId="0" fillId="0" borderId="0" xfId="0" applyFont="1" applyFill="1" applyAlignment="1">
      <alignment horizontal="center"/>
    </xf>
    <xf numFmtId="2" fontId="0" fillId="0" borderId="0" xfId="0" applyNumberFormat="1" applyFont="1" applyAlignment="1">
      <alignment horizontal="center" wrapText="1"/>
    </xf>
    <xf numFmtId="2" fontId="2" fillId="0" borderId="0" xfId="0" applyNumberFormat="1" applyFont="1" applyAlignment="1">
      <alignment horizontal="center"/>
    </xf>
    <xf numFmtId="9" fontId="0" fillId="0" borderId="0" xfId="1" applyFont="1" applyAlignment="1">
      <alignment horizontal="left"/>
    </xf>
    <xf numFmtId="0" fontId="0" fillId="0" borderId="0" xfId="0" applyFill="1"/>
    <xf numFmtId="2" fontId="5" fillId="0" borderId="0" xfId="0" applyNumberFormat="1" applyFont="1" applyAlignment="1">
      <alignment horizontal="center" wrapText="1"/>
    </xf>
    <xf numFmtId="2" fontId="0" fillId="0" borderId="0" xfId="0" applyNumberFormat="1" applyFont="1" applyFill="1" applyAlignment="1">
      <alignment horizontal="center" wrapText="1"/>
    </xf>
    <xf numFmtId="0" fontId="1" fillId="0" borderId="0" xfId="0" applyFont="1" applyFill="1" applyAlignment="1">
      <alignment horizontal="left"/>
    </xf>
    <xf numFmtId="0" fontId="3" fillId="0" borderId="0" xfId="0" applyFont="1" applyFill="1" applyAlignment="1">
      <alignment horizontal="center" wrapText="1"/>
    </xf>
    <xf numFmtId="0" fontId="2" fillId="0" borderId="0" xfId="0" applyFont="1" applyFill="1" applyAlignment="1">
      <alignment horizontal="center"/>
    </xf>
    <xf numFmtId="0" fontId="5" fillId="0" borderId="0" xfId="0" applyFont="1" applyFill="1" applyBorder="1" applyAlignment="1">
      <alignment horizontal="right"/>
    </xf>
    <xf numFmtId="2" fontId="5" fillId="0" borderId="0" xfId="0" applyNumberFormat="1" applyFont="1" applyFill="1" applyBorder="1" applyAlignment="1">
      <alignment horizontal="center"/>
    </xf>
    <xf numFmtId="0" fontId="0" fillId="0" borderId="0" xfId="0" applyFont="1" applyBorder="1" applyAlignment="1">
      <alignment horizontal="left"/>
    </xf>
    <xf numFmtId="0" fontId="3" fillId="0" borderId="0" xfId="0" applyFont="1" applyFill="1" applyBorder="1"/>
    <xf numFmtId="0" fontId="0" fillId="0" borderId="0" xfId="0" applyFont="1" applyFill="1" applyBorder="1" applyAlignment="1">
      <alignment horizontal="left"/>
    </xf>
    <xf numFmtId="9" fontId="0" fillId="0" borderId="0" xfId="1" applyFont="1" applyBorder="1" applyAlignment="1">
      <alignment horizontal="center"/>
    </xf>
    <xf numFmtId="9" fontId="5" fillId="0" borderId="0" xfId="1" applyFont="1" applyFill="1" applyBorder="1" applyAlignment="1">
      <alignment horizontal="center"/>
    </xf>
    <xf numFmtId="0" fontId="0" fillId="0" borderId="0" xfId="0" applyFont="1"/>
    <xf numFmtId="0" fontId="0" fillId="0" borderId="0" xfId="0" applyFont="1" applyFill="1"/>
    <xf numFmtId="0" fontId="0" fillId="2" borderId="0" xfId="0" applyFont="1" applyFill="1" applyAlignment="1">
      <alignment horizontal="left"/>
    </xf>
    <xf numFmtId="0" fontId="0" fillId="2" borderId="0" xfId="0" applyFont="1" applyFill="1"/>
    <xf numFmtId="2" fontId="0" fillId="2" borderId="0" xfId="0" applyNumberFormat="1" applyFont="1" applyFill="1" applyAlignment="1">
      <alignment horizontal="center"/>
    </xf>
    <xf numFmtId="0" fontId="3" fillId="2" borderId="0" xfId="0" applyFont="1" applyFill="1"/>
    <xf numFmtId="0" fontId="0" fillId="2" borderId="0" xfId="0" applyFont="1" applyFill="1" applyAlignment="1">
      <alignment horizontal="center"/>
    </xf>
    <xf numFmtId="2" fontId="0" fillId="0" borderId="0" xfId="0" applyNumberFormat="1" applyFont="1" applyFill="1" applyAlignment="1">
      <alignment horizontal="center"/>
    </xf>
    <xf numFmtId="0" fontId="3" fillId="0" borderId="0" xfId="2" applyFont="1" applyFill="1"/>
    <xf numFmtId="0" fontId="3" fillId="0" borderId="0" xfId="3" applyFont="1" applyFill="1"/>
    <xf numFmtId="0" fontId="3" fillId="2" borderId="0" xfId="3" applyFont="1" applyFill="1"/>
    <xf numFmtId="0" fontId="5" fillId="0" borderId="0" xfId="0" applyFont="1" applyAlignment="1">
      <alignment horizontal="right"/>
    </xf>
    <xf numFmtId="2" fontId="5" fillId="0" borderId="0" xfId="0" applyNumberFormat="1" applyFont="1" applyAlignment="1">
      <alignment horizontal="center"/>
    </xf>
    <xf numFmtId="0" fontId="2" fillId="0" borderId="0" xfId="0" applyFont="1"/>
    <xf numFmtId="0" fontId="3" fillId="2" borderId="0" xfId="0" applyFont="1" applyFill="1" applyAlignment="1">
      <alignment horizontal="left"/>
    </xf>
    <xf numFmtId="2" fontId="0" fillId="0" borderId="0" xfId="0" applyNumberFormat="1" applyAlignment="1">
      <alignment horizontal="center"/>
    </xf>
    <xf numFmtId="9" fontId="0" fillId="0" borderId="0" xfId="1" applyFont="1"/>
    <xf numFmtId="0" fontId="5" fillId="0" borderId="0" xfId="0" applyFont="1" applyFill="1"/>
    <xf numFmtId="2" fontId="3" fillId="0" borderId="0" xfId="0" applyNumberFormat="1" applyFont="1" applyAlignment="1">
      <alignment horizontal="center"/>
    </xf>
    <xf numFmtId="0" fontId="2" fillId="0" borderId="0" xfId="0" applyFont="1" applyAlignment="1">
      <alignment horizontal="left"/>
    </xf>
    <xf numFmtId="2" fontId="1" fillId="0" borderId="0" xfId="0" applyNumberFormat="1" applyFont="1"/>
    <xf numFmtId="2" fontId="0" fillId="0" borderId="0" xfId="0" applyNumberFormat="1" applyFill="1" applyAlignment="1">
      <alignment horizontal="center"/>
    </xf>
    <xf numFmtId="2" fontId="3" fillId="0" borderId="0" xfId="0" applyNumberFormat="1" applyFont="1" applyBorder="1" applyAlignment="1">
      <alignment horizontal="center"/>
    </xf>
    <xf numFmtId="0" fontId="9" fillId="0" borderId="0" xfId="0" applyFont="1"/>
    <xf numFmtId="2" fontId="3" fillId="0" borderId="0" xfId="0" applyNumberFormat="1" applyFont="1" applyAlignment="1">
      <alignment horizontal="center" wrapText="1"/>
    </xf>
    <xf numFmtId="2" fontId="3" fillId="0" borderId="0" xfId="0" applyNumberFormat="1" applyFont="1" applyFill="1" applyAlignment="1">
      <alignment horizontal="center" wrapText="1"/>
    </xf>
    <xf numFmtId="0" fontId="5" fillId="0" borderId="0" xfId="0" applyFont="1" applyAlignment="1">
      <alignment horizontal="center" wrapText="1"/>
    </xf>
    <xf numFmtId="2" fontId="3" fillId="2" borderId="0" xfId="0" applyNumberFormat="1" applyFont="1" applyFill="1" applyAlignment="1">
      <alignment horizontal="center"/>
    </xf>
    <xf numFmtId="2" fontId="3" fillId="0" borderId="0" xfId="0" applyNumberFormat="1" applyFont="1" applyFill="1" applyAlignment="1">
      <alignment horizontal="center"/>
    </xf>
    <xf numFmtId="0" fontId="3" fillId="2" borderId="0" xfId="0" applyFont="1" applyFill="1" applyAlignment="1">
      <alignment horizontal="center"/>
    </xf>
    <xf numFmtId="1" fontId="0" fillId="0" borderId="0" xfId="0" applyNumberFormat="1" applyAlignment="1">
      <alignment horizontal="center"/>
    </xf>
    <xf numFmtId="2" fontId="3" fillId="0" borderId="0" xfId="0" applyNumberFormat="1" applyFont="1" applyFill="1" applyBorder="1" applyAlignment="1">
      <alignment horizontal="center"/>
    </xf>
    <xf numFmtId="9" fontId="3" fillId="0" borderId="0" xfId="1" applyFont="1" applyAlignment="1">
      <alignment horizontal="center"/>
    </xf>
    <xf numFmtId="0" fontId="8" fillId="0" borderId="0" xfId="0" applyFont="1" applyFill="1"/>
    <xf numFmtId="2" fontId="5" fillId="0" borderId="0" xfId="0" applyNumberFormat="1" applyFont="1" applyFill="1" applyAlignment="1">
      <alignment horizontal="center"/>
    </xf>
    <xf numFmtId="9" fontId="2" fillId="0" borderId="0" xfId="1" applyFont="1"/>
    <xf numFmtId="9" fontId="3" fillId="0" borderId="0" xfId="1" applyFont="1" applyFill="1" applyBorder="1" applyAlignment="1">
      <alignment horizontal="center"/>
    </xf>
    <xf numFmtId="0" fontId="0" fillId="0" borderId="0" xfId="0" applyFont="1" applyFill="1" applyAlignment="1"/>
    <xf numFmtId="0" fontId="3" fillId="0" borderId="0" xfId="0" applyFont="1" applyFill="1" applyAlignment="1"/>
    <xf numFmtId="2" fontId="0" fillId="3" borderId="0" xfId="0" applyNumberFormat="1" applyFont="1" applyFill="1" applyAlignment="1">
      <alignment horizontal="center"/>
    </xf>
  </cellXfs>
  <cellStyles count="4">
    <cellStyle name="Normal" xfId="0" builtinId="0"/>
    <cellStyle name="Normal 2" xfId="3"/>
    <cellStyle name="Normal 3"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5"/>
  <sheetViews>
    <sheetView tabSelected="1" zoomScaleNormal="100" workbookViewId="0"/>
  </sheetViews>
  <sheetFormatPr defaultRowHeight="15" x14ac:dyDescent="0.25"/>
  <cols>
    <col min="1" max="1" width="31.42578125" customWidth="1"/>
    <col min="2" max="2" width="18.140625" customWidth="1"/>
    <col min="3" max="3" width="14" style="20" customWidth="1"/>
    <col min="4" max="4" width="16.28515625" style="20" customWidth="1"/>
    <col min="5" max="5" width="15.7109375" style="20" customWidth="1"/>
    <col min="6" max="6" width="49" customWidth="1"/>
    <col min="7" max="7" width="36.140625" customWidth="1"/>
    <col min="8" max="8" width="30.85546875" customWidth="1"/>
  </cols>
  <sheetData>
    <row r="1" spans="1:7" s="1" customFormat="1" ht="75" x14ac:dyDescent="0.25">
      <c r="A1" s="1" t="s">
        <v>0</v>
      </c>
      <c r="B1" s="17" t="s">
        <v>182</v>
      </c>
      <c r="C1" s="17" t="s">
        <v>2356</v>
      </c>
      <c r="D1" s="17" t="s">
        <v>2357</v>
      </c>
      <c r="E1" s="17"/>
      <c r="G1" s="45"/>
    </row>
    <row r="2" spans="1:7" x14ac:dyDescent="0.25">
      <c r="A2" t="s">
        <v>183</v>
      </c>
      <c r="B2" s="22">
        <v>13.68</v>
      </c>
      <c r="C2" s="51">
        <f t="shared" ref="C2:C8" si="0">B2/D2</f>
        <v>0.28050030756612671</v>
      </c>
      <c r="D2" s="20">
        <v>48.77</v>
      </c>
    </row>
    <row r="3" spans="1:7" x14ac:dyDescent="0.25">
      <c r="A3" t="s">
        <v>184</v>
      </c>
      <c r="B3" s="22">
        <v>5.31</v>
      </c>
      <c r="C3" s="51">
        <f t="shared" si="0"/>
        <v>0.53474320241691842</v>
      </c>
      <c r="D3" s="20">
        <v>9.93</v>
      </c>
    </row>
    <row r="4" spans="1:7" x14ac:dyDescent="0.25">
      <c r="A4" t="s">
        <v>185</v>
      </c>
      <c r="B4" s="27">
        <v>241.5</v>
      </c>
      <c r="C4" s="89">
        <f t="shared" si="0"/>
        <v>0.52683246073298429</v>
      </c>
      <c r="D4" s="81">
        <v>458.4</v>
      </c>
      <c r="F4" s="40"/>
    </row>
    <row r="5" spans="1:7" x14ac:dyDescent="0.25">
      <c r="A5" t="s">
        <v>186</v>
      </c>
      <c r="B5" s="22">
        <v>26.13</v>
      </c>
      <c r="C5" s="51">
        <f>B5/D5</f>
        <v>0.56217728055077454</v>
      </c>
      <c r="D5" s="20">
        <v>46.48</v>
      </c>
    </row>
    <row r="6" spans="1:7" x14ac:dyDescent="0.25">
      <c r="A6" t="s">
        <v>187</v>
      </c>
      <c r="B6" s="22">
        <v>39.659999999999997</v>
      </c>
      <c r="C6" s="51">
        <f t="shared" si="0"/>
        <v>0.44920149507305462</v>
      </c>
      <c r="D6" s="20">
        <v>88.29</v>
      </c>
    </row>
    <row r="7" spans="1:7" x14ac:dyDescent="0.25">
      <c r="A7" t="s">
        <v>188</v>
      </c>
      <c r="B7" s="22">
        <v>35.549999999999997</v>
      </c>
      <c r="C7" s="51">
        <f t="shared" si="0"/>
        <v>0.2862549319590949</v>
      </c>
      <c r="D7" s="20">
        <v>124.19</v>
      </c>
    </row>
    <row r="8" spans="1:7" x14ac:dyDescent="0.25">
      <c r="A8" t="s">
        <v>189</v>
      </c>
      <c r="B8" s="22">
        <v>62.53</v>
      </c>
      <c r="C8" s="51">
        <f t="shared" si="0"/>
        <v>0.43162835645751363</v>
      </c>
      <c r="D8" s="20">
        <v>144.87</v>
      </c>
    </row>
    <row r="9" spans="1:7" x14ac:dyDescent="0.25">
      <c r="A9" s="48" t="s">
        <v>190</v>
      </c>
      <c r="B9" s="75">
        <f>'NY - ATLANTIC'!E51</f>
        <v>61.603446969696982</v>
      </c>
      <c r="C9" s="51">
        <f t="shared" ref="C9:C13" si="1">B9/D9</f>
        <v>0.50259808248100668</v>
      </c>
      <c r="D9" s="20">
        <v>122.57</v>
      </c>
    </row>
    <row r="10" spans="1:7" x14ac:dyDescent="0.25">
      <c r="A10" s="48" t="s">
        <v>191</v>
      </c>
      <c r="B10" s="75">
        <f>NJ!E16</f>
        <v>32.425719696969693</v>
      </c>
      <c r="C10" s="51">
        <f t="shared" si="1"/>
        <v>0.25872272956969355</v>
      </c>
      <c r="D10" s="20">
        <v>125.33</v>
      </c>
    </row>
    <row r="11" spans="1:7" x14ac:dyDescent="0.25">
      <c r="A11" s="48" t="s">
        <v>192</v>
      </c>
      <c r="B11" s="75">
        <f>DE!E7</f>
        <v>14.278409090909092</v>
      </c>
      <c r="C11" s="51">
        <f t="shared" si="1"/>
        <v>0.57924580490503419</v>
      </c>
      <c r="D11" s="20">
        <v>24.65</v>
      </c>
    </row>
    <row r="12" spans="1:7" x14ac:dyDescent="0.25">
      <c r="A12" s="49" t="s">
        <v>193</v>
      </c>
      <c r="B12" s="84">
        <f>MD!E4</f>
        <v>22.1</v>
      </c>
      <c r="C12" s="51">
        <f t="shared" si="1"/>
        <v>0.71061093247588425</v>
      </c>
      <c r="D12" s="68">
        <v>31.1</v>
      </c>
      <c r="E12" s="68"/>
    </row>
    <row r="13" spans="1:7" x14ac:dyDescent="0.25">
      <c r="A13" s="49" t="s">
        <v>194</v>
      </c>
      <c r="B13" s="84">
        <f>VA!E29</f>
        <v>93.911742424242405</v>
      </c>
      <c r="C13" s="51">
        <f t="shared" si="1"/>
        <v>0.89337654513168185</v>
      </c>
      <c r="D13" s="20">
        <v>105.12</v>
      </c>
    </row>
    <row r="14" spans="1:7" x14ac:dyDescent="0.25">
      <c r="A14" s="50" t="s">
        <v>195</v>
      </c>
      <c r="B14" s="71">
        <v>179.47</v>
      </c>
      <c r="C14" s="51">
        <v>0.56000000000000005</v>
      </c>
      <c r="D14" s="20">
        <v>322.26</v>
      </c>
      <c r="E14" s="68"/>
    </row>
    <row r="16" spans="1:7" x14ac:dyDescent="0.25">
      <c r="A16" s="46" t="s">
        <v>11</v>
      </c>
      <c r="B16" s="47">
        <f>SUM(B2:B14)</f>
        <v>828.14931818181833</v>
      </c>
      <c r="C16" s="52">
        <f>B16/D16</f>
        <v>0.5013131783952508</v>
      </c>
      <c r="D16" s="47">
        <f>SUM(D2:D14)</f>
        <v>1651.9599999999998</v>
      </c>
      <c r="E16" s="47"/>
    </row>
    <row r="47" spans="3:8" s="8" customFormat="1" x14ac:dyDescent="0.25">
      <c r="C47" s="19"/>
      <c r="D47" s="19"/>
      <c r="E47" s="12"/>
      <c r="H47" s="11"/>
    </row>
    <row r="68" spans="3:5" s="8" customFormat="1" x14ac:dyDescent="0.25">
      <c r="C68" s="19"/>
      <c r="D68" s="19"/>
      <c r="E68" s="12"/>
    </row>
    <row r="96" spans="2:5" s="18" customFormat="1" x14ac:dyDescent="0.25">
      <c r="B96" s="24"/>
      <c r="C96" s="19"/>
      <c r="D96" s="19"/>
      <c r="E96" s="19"/>
    </row>
    <row r="97" spans="2:5" s="18" customFormat="1" x14ac:dyDescent="0.25">
      <c r="B97" s="24"/>
      <c r="C97" s="19"/>
      <c r="D97" s="19"/>
      <c r="E97" s="19"/>
    </row>
    <row r="98" spans="2:5" s="18" customFormat="1" x14ac:dyDescent="0.25">
      <c r="B98" s="24"/>
      <c r="C98" s="19"/>
      <c r="D98" s="19"/>
    </row>
    <row r="99" spans="2:5" s="18" customFormat="1" x14ac:dyDescent="0.25">
      <c r="B99" s="24"/>
      <c r="C99" s="19"/>
      <c r="D99" s="19"/>
    </row>
    <row r="100" spans="2:5" s="18" customFormat="1" x14ac:dyDescent="0.25">
      <c r="B100" s="24"/>
      <c r="C100" s="19"/>
      <c r="D100" s="19"/>
    </row>
    <row r="101" spans="2:5" s="4" customFormat="1" x14ac:dyDescent="0.25">
      <c r="C101" s="27"/>
      <c r="D101" s="27"/>
    </row>
    <row r="102" spans="2:5" s="4" customFormat="1" x14ac:dyDescent="0.25">
      <c r="C102" s="27"/>
      <c r="D102" s="27"/>
    </row>
    <row r="103" spans="2:5" s="4" customFormat="1" x14ac:dyDescent="0.25">
      <c r="C103" s="27"/>
      <c r="D103" s="27"/>
    </row>
    <row r="104" spans="2:5" s="4" customFormat="1" x14ac:dyDescent="0.25">
      <c r="C104" s="27"/>
      <c r="D104" s="27"/>
      <c r="E104" s="27"/>
    </row>
    <row r="105" spans="2:5" s="4" customFormat="1" x14ac:dyDescent="0.25">
      <c r="C105" s="27"/>
      <c r="D105" s="27"/>
      <c r="E105" s="27"/>
    </row>
    <row r="106" spans="2:5" s="4" customFormat="1" x14ac:dyDescent="0.25">
      <c r="C106" s="27"/>
      <c r="D106" s="27"/>
      <c r="E106" s="27"/>
    </row>
    <row r="107" spans="2:5" s="4" customFormat="1" x14ac:dyDescent="0.25">
      <c r="C107" s="27"/>
      <c r="D107" s="27"/>
      <c r="E107" s="27"/>
    </row>
    <row r="108" spans="2:5" s="4" customFormat="1" x14ac:dyDescent="0.25">
      <c r="C108" s="27"/>
      <c r="D108" s="27"/>
      <c r="E108" s="27"/>
    </row>
    <row r="109" spans="2:5" s="4" customFormat="1" x14ac:dyDescent="0.25">
      <c r="C109" s="27"/>
      <c r="D109" s="27"/>
      <c r="E109" s="27"/>
    </row>
    <row r="110" spans="2:5" s="4" customFormat="1" x14ac:dyDescent="0.25">
      <c r="C110" s="27"/>
      <c r="D110" s="27"/>
      <c r="E110" s="27"/>
    </row>
    <row r="111" spans="2:5" s="4" customFormat="1" x14ac:dyDescent="0.25">
      <c r="C111" s="27"/>
      <c r="D111" s="27"/>
      <c r="E111" s="27"/>
    </row>
    <row r="112" spans="2:5" s="4" customFormat="1" x14ac:dyDescent="0.25">
      <c r="C112" s="27"/>
      <c r="D112" s="27"/>
      <c r="E112" s="27"/>
    </row>
    <row r="113" spans="3:5" s="4" customFormat="1" x14ac:dyDescent="0.25">
      <c r="C113" s="27"/>
      <c r="D113" s="27"/>
      <c r="E113" s="27"/>
    </row>
    <row r="114" spans="3:5" s="4" customFormat="1" x14ac:dyDescent="0.25">
      <c r="C114" s="27"/>
      <c r="D114" s="27"/>
      <c r="E114" s="27"/>
    </row>
    <row r="115" spans="3:5" s="4" customFormat="1" x14ac:dyDescent="0.25">
      <c r="C115" s="27"/>
      <c r="D115" s="27"/>
      <c r="E115" s="27"/>
    </row>
    <row r="116" spans="3:5" s="4" customFormat="1" x14ac:dyDescent="0.25">
      <c r="C116" s="27"/>
      <c r="D116" s="27"/>
      <c r="E116" s="27"/>
    </row>
    <row r="117" spans="3:5" s="4" customFormat="1" x14ac:dyDescent="0.25">
      <c r="C117" s="27"/>
      <c r="D117" s="27"/>
      <c r="E117" s="27"/>
    </row>
    <row r="118" spans="3:5" s="4" customFormat="1" x14ac:dyDescent="0.25">
      <c r="C118" s="27"/>
      <c r="D118" s="27"/>
      <c r="E118" s="27"/>
    </row>
    <row r="119" spans="3:5" s="4" customFormat="1" x14ac:dyDescent="0.25">
      <c r="C119" s="27"/>
      <c r="D119" s="27"/>
      <c r="E119" s="27"/>
    </row>
    <row r="120" spans="3:5" s="4" customFormat="1" x14ac:dyDescent="0.25">
      <c r="C120" s="27"/>
      <c r="D120" s="27"/>
      <c r="E120" s="27"/>
    </row>
    <row r="121" spans="3:5" s="4" customFormat="1" x14ac:dyDescent="0.25">
      <c r="C121" s="27"/>
      <c r="D121" s="27"/>
      <c r="E121" s="27"/>
    </row>
    <row r="122" spans="3:5" s="4" customFormat="1" x14ac:dyDescent="0.25">
      <c r="C122" s="27"/>
      <c r="D122" s="27"/>
      <c r="E122" s="27"/>
    </row>
    <row r="123" spans="3:5" s="4" customFormat="1" x14ac:dyDescent="0.25">
      <c r="C123" s="27"/>
      <c r="D123" s="27"/>
      <c r="E123" s="27"/>
    </row>
    <row r="124" spans="3:5" s="4" customFormat="1" x14ac:dyDescent="0.25">
      <c r="C124" s="27"/>
      <c r="D124" s="27"/>
      <c r="E124" s="27"/>
    </row>
    <row r="125" spans="3:5" s="4" customFormat="1" x14ac:dyDescent="0.25">
      <c r="C125" s="27"/>
      <c r="D125" s="27"/>
      <c r="E125" s="27"/>
    </row>
    <row r="126" spans="3:5" s="4" customFormat="1" x14ac:dyDescent="0.25">
      <c r="C126" s="27"/>
      <c r="D126" s="27"/>
      <c r="E126" s="27"/>
    </row>
    <row r="127" spans="3:5" s="4" customFormat="1" x14ac:dyDescent="0.25">
      <c r="C127" s="27"/>
      <c r="D127" s="27"/>
      <c r="E127" s="27"/>
    </row>
    <row r="128" spans="3:5" s="4" customFormat="1" x14ac:dyDescent="0.25">
      <c r="C128" s="27"/>
      <c r="D128" s="27"/>
      <c r="E128" s="27"/>
    </row>
    <row r="129" spans="3:5" s="4" customFormat="1" x14ac:dyDescent="0.25">
      <c r="C129" s="27"/>
      <c r="D129" s="27"/>
      <c r="E129" s="27"/>
    </row>
    <row r="130" spans="3:5" s="4" customFormat="1" x14ac:dyDescent="0.25">
      <c r="C130" s="27"/>
      <c r="D130" s="27"/>
      <c r="E130" s="27"/>
    </row>
    <row r="131" spans="3:5" s="4" customFormat="1" x14ac:dyDescent="0.25">
      <c r="C131" s="27"/>
      <c r="D131" s="27"/>
      <c r="E131" s="27"/>
    </row>
    <row r="132" spans="3:5" s="4" customFormat="1" x14ac:dyDescent="0.25">
      <c r="C132" s="27"/>
      <c r="D132" s="27"/>
      <c r="E132" s="27"/>
    </row>
    <row r="133" spans="3:5" s="4" customFormat="1" x14ac:dyDescent="0.25">
      <c r="C133" s="27"/>
      <c r="D133" s="27"/>
      <c r="E133" s="27"/>
    </row>
    <row r="134" spans="3:5" s="4" customFormat="1" x14ac:dyDescent="0.25">
      <c r="C134" s="27"/>
      <c r="D134" s="27"/>
      <c r="E134" s="29"/>
    </row>
    <row r="135" spans="3:5" s="4" customFormat="1" x14ac:dyDescent="0.25">
      <c r="C135" s="27"/>
      <c r="D135" s="27"/>
      <c r="E135" s="27"/>
    </row>
    <row r="136" spans="3:5" s="4" customFormat="1" x14ac:dyDescent="0.25">
      <c r="C136" s="27"/>
      <c r="D136" s="27"/>
      <c r="E136" s="27"/>
    </row>
    <row r="137" spans="3:5" s="4" customFormat="1" x14ac:dyDescent="0.25">
      <c r="C137" s="27"/>
      <c r="D137" s="27"/>
      <c r="E137" s="27"/>
    </row>
    <row r="138" spans="3:5" s="4" customFormat="1" x14ac:dyDescent="0.25">
      <c r="C138" s="27"/>
      <c r="D138" s="27"/>
      <c r="E138" s="27"/>
    </row>
    <row r="139" spans="3:5" s="4" customFormat="1" x14ac:dyDescent="0.25">
      <c r="C139" s="27"/>
      <c r="D139" s="27"/>
      <c r="E139" s="27"/>
    </row>
    <row r="140" spans="3:5" s="4" customFormat="1" x14ac:dyDescent="0.25">
      <c r="C140" s="27"/>
      <c r="D140" s="27"/>
      <c r="E140" s="27"/>
    </row>
    <row r="141" spans="3:5" s="4" customFormat="1" x14ac:dyDescent="0.25">
      <c r="C141" s="27"/>
      <c r="D141" s="27"/>
      <c r="E141" s="27"/>
    </row>
    <row r="142" spans="3:5" s="4" customFormat="1" x14ac:dyDescent="0.25">
      <c r="C142" s="27"/>
      <c r="D142" s="27"/>
      <c r="E142" s="27"/>
    </row>
    <row r="143" spans="3:5" s="4" customFormat="1" x14ac:dyDescent="0.25">
      <c r="C143" s="27"/>
      <c r="D143" s="27"/>
      <c r="E143" s="27"/>
    </row>
    <row r="144" spans="3:5" s="4" customFormat="1" x14ac:dyDescent="0.25">
      <c r="C144" s="27"/>
      <c r="D144" s="27"/>
      <c r="E144" s="27"/>
    </row>
    <row r="145" spans="3:6" s="4" customFormat="1" x14ac:dyDescent="0.25">
      <c r="C145" s="27"/>
      <c r="D145" s="27"/>
      <c r="E145" s="28"/>
    </row>
    <row r="146" spans="3:6" s="4" customFormat="1" x14ac:dyDescent="0.25">
      <c r="C146" s="27"/>
      <c r="D146" s="27"/>
      <c r="E146" s="27"/>
    </row>
    <row r="147" spans="3:6" s="4" customFormat="1" x14ac:dyDescent="0.25">
      <c r="C147" s="27"/>
      <c r="D147" s="27"/>
      <c r="E147" s="27"/>
    </row>
    <row r="148" spans="3:6" s="4" customFormat="1" x14ac:dyDescent="0.25">
      <c r="C148" s="27"/>
      <c r="D148" s="27"/>
      <c r="E148" s="27"/>
    </row>
    <row r="149" spans="3:6" s="4" customFormat="1" x14ac:dyDescent="0.25">
      <c r="C149" s="27"/>
      <c r="D149" s="27"/>
      <c r="E149" s="27"/>
    </row>
    <row r="150" spans="3:6" s="4" customFormat="1" x14ac:dyDescent="0.25">
      <c r="C150" s="27"/>
      <c r="D150" s="27"/>
      <c r="E150" s="27"/>
    </row>
    <row r="151" spans="3:6" s="4" customFormat="1" x14ac:dyDescent="0.25">
      <c r="C151" s="27"/>
      <c r="D151" s="27"/>
      <c r="E151" s="27"/>
    </row>
    <row r="152" spans="3:6" s="4" customFormat="1" x14ac:dyDescent="0.25">
      <c r="C152" s="27"/>
      <c r="D152" s="27"/>
      <c r="E152" s="27"/>
    </row>
    <row r="153" spans="3:6" s="4" customFormat="1" x14ac:dyDescent="0.25">
      <c r="C153" s="27"/>
      <c r="D153" s="27"/>
      <c r="E153" s="27"/>
    </row>
    <row r="154" spans="3:6" s="4" customFormat="1" x14ac:dyDescent="0.25">
      <c r="C154" s="27"/>
      <c r="D154" s="27"/>
      <c r="E154" s="27"/>
    </row>
    <row r="155" spans="3:6" s="4" customFormat="1" x14ac:dyDescent="0.25">
      <c r="C155" s="27"/>
      <c r="D155" s="27"/>
      <c r="E155" s="27"/>
    </row>
    <row r="156" spans="3:6" s="4" customFormat="1" x14ac:dyDescent="0.25">
      <c r="C156" s="27"/>
      <c r="D156" s="27"/>
      <c r="E156" s="27"/>
    </row>
    <row r="157" spans="3:6" s="4" customFormat="1" x14ac:dyDescent="0.25">
      <c r="C157" s="27"/>
      <c r="D157" s="27"/>
      <c r="E157" s="27"/>
    </row>
    <row r="158" spans="3:6" s="4" customFormat="1" x14ac:dyDescent="0.25">
      <c r="C158" s="27"/>
      <c r="D158" s="27"/>
      <c r="E158" s="27"/>
    </row>
    <row r="159" spans="3:6" s="4" customFormat="1" x14ac:dyDescent="0.25">
      <c r="C159" s="27"/>
      <c r="D159" s="27"/>
      <c r="E159" s="27"/>
      <c r="F159" s="30"/>
    </row>
    <row r="160" spans="3:6" s="4" customFormat="1" x14ac:dyDescent="0.25">
      <c r="C160" s="27"/>
      <c r="D160" s="27"/>
      <c r="E160" s="27"/>
    </row>
    <row r="161" spans="3:5" s="4" customFormat="1" x14ac:dyDescent="0.25">
      <c r="C161" s="27"/>
      <c r="D161" s="27"/>
      <c r="E161" s="27"/>
    </row>
    <row r="162" spans="3:5" s="4" customFormat="1" x14ac:dyDescent="0.25">
      <c r="C162" s="27"/>
      <c r="D162" s="27"/>
      <c r="E162" s="27"/>
    </row>
    <row r="163" spans="3:5" s="4" customFormat="1" x14ac:dyDescent="0.25">
      <c r="C163" s="27"/>
      <c r="D163" s="27"/>
      <c r="E163" s="27"/>
    </row>
    <row r="164" spans="3:5" s="4" customFormat="1" x14ac:dyDescent="0.25">
      <c r="C164" s="27"/>
      <c r="D164" s="27"/>
      <c r="E164" s="27"/>
    </row>
    <row r="165" spans="3:5" s="4" customFormat="1" x14ac:dyDescent="0.25">
      <c r="C165" s="27"/>
      <c r="D165" s="27"/>
      <c r="E165" s="27"/>
    </row>
    <row r="166" spans="3:5" s="4" customFormat="1" x14ac:dyDescent="0.25">
      <c r="C166" s="27"/>
      <c r="D166" s="27"/>
      <c r="E166" s="27"/>
    </row>
    <row r="167" spans="3:5" s="4" customFormat="1" x14ac:dyDescent="0.25">
      <c r="C167" s="27"/>
      <c r="D167" s="27"/>
      <c r="E167" s="27"/>
    </row>
    <row r="168" spans="3:5" s="4" customFormat="1" x14ac:dyDescent="0.25">
      <c r="C168" s="27"/>
      <c r="D168" s="27"/>
      <c r="E168" s="27"/>
    </row>
    <row r="169" spans="3:5" s="4" customFormat="1" x14ac:dyDescent="0.25">
      <c r="C169" s="27"/>
      <c r="D169" s="27"/>
      <c r="E169" s="27"/>
    </row>
    <row r="170" spans="3:5" s="4" customFormat="1" x14ac:dyDescent="0.25">
      <c r="C170" s="27"/>
      <c r="D170" s="27"/>
      <c r="E170" s="27"/>
    </row>
    <row r="171" spans="3:5" s="4" customFormat="1" x14ac:dyDescent="0.25">
      <c r="C171" s="27"/>
      <c r="D171" s="27"/>
      <c r="E171" s="27"/>
    </row>
    <row r="172" spans="3:5" s="4" customFormat="1" x14ac:dyDescent="0.25">
      <c r="C172" s="27"/>
      <c r="D172" s="27"/>
      <c r="E172" s="27"/>
    </row>
    <row r="173" spans="3:5" s="4" customFormat="1" x14ac:dyDescent="0.25">
      <c r="C173" s="27"/>
      <c r="D173" s="27"/>
      <c r="E173" s="27"/>
    </row>
    <row r="174" spans="3:5" s="4" customFormat="1" x14ac:dyDescent="0.25">
      <c r="C174" s="27"/>
      <c r="D174" s="27"/>
      <c r="E174" s="27"/>
    </row>
    <row r="175" spans="3:5" s="4" customFormat="1" x14ac:dyDescent="0.25">
      <c r="C175" s="27"/>
      <c r="D175" s="27"/>
      <c r="E175" s="27"/>
    </row>
    <row r="176" spans="3:5" s="4" customFormat="1" x14ac:dyDescent="0.25">
      <c r="C176" s="27"/>
      <c r="D176" s="27"/>
      <c r="E176" s="27"/>
    </row>
    <row r="177" spans="3:5" s="4" customFormat="1" x14ac:dyDescent="0.25">
      <c r="C177" s="27"/>
      <c r="D177" s="27"/>
      <c r="E177" s="27"/>
    </row>
    <row r="178" spans="3:5" s="4" customFormat="1" x14ac:dyDescent="0.25">
      <c r="C178" s="27"/>
      <c r="D178" s="27"/>
      <c r="E178" s="27"/>
    </row>
    <row r="179" spans="3:5" s="4" customFormat="1" x14ac:dyDescent="0.25">
      <c r="C179" s="27"/>
      <c r="D179" s="27"/>
      <c r="E179" s="27"/>
    </row>
    <row r="180" spans="3:5" s="4" customFormat="1" x14ac:dyDescent="0.25">
      <c r="C180" s="27"/>
      <c r="D180" s="27"/>
      <c r="E180" s="27"/>
    </row>
    <row r="181" spans="3:5" s="4" customFormat="1" x14ac:dyDescent="0.25">
      <c r="C181" s="27"/>
      <c r="D181" s="27"/>
      <c r="E181" s="27"/>
    </row>
    <row r="182" spans="3:5" s="4" customFormat="1" x14ac:dyDescent="0.25">
      <c r="C182" s="27"/>
      <c r="D182" s="27"/>
      <c r="E182" s="28"/>
    </row>
    <row r="183" spans="3:5" s="4" customFormat="1" x14ac:dyDescent="0.25">
      <c r="C183" s="27"/>
      <c r="D183" s="27"/>
      <c r="E183" s="27"/>
    </row>
    <row r="184" spans="3:5" s="4" customFormat="1" x14ac:dyDescent="0.25">
      <c r="C184" s="27"/>
      <c r="D184" s="27"/>
      <c r="E184" s="27"/>
    </row>
    <row r="185" spans="3:5" s="4" customFormat="1" x14ac:dyDescent="0.25">
      <c r="C185" s="27"/>
      <c r="D185" s="27"/>
      <c r="E185" s="27"/>
    </row>
    <row r="186" spans="3:5" s="4" customFormat="1" x14ac:dyDescent="0.25">
      <c r="C186" s="27"/>
      <c r="D186" s="27"/>
      <c r="E186" s="27"/>
    </row>
    <row r="187" spans="3:5" s="4" customFormat="1" x14ac:dyDescent="0.25">
      <c r="C187" s="27"/>
      <c r="D187" s="27"/>
      <c r="E187" s="27"/>
    </row>
    <row r="188" spans="3:5" s="4" customFormat="1" x14ac:dyDescent="0.25">
      <c r="C188" s="27"/>
      <c r="D188" s="27"/>
      <c r="E188" s="27"/>
    </row>
    <row r="189" spans="3:5" s="4" customFormat="1" x14ac:dyDescent="0.25">
      <c r="C189" s="27"/>
      <c r="D189" s="27"/>
      <c r="E189" s="27"/>
    </row>
    <row r="190" spans="3:5" s="4" customFormat="1" x14ac:dyDescent="0.25">
      <c r="C190" s="27"/>
      <c r="D190" s="27"/>
      <c r="E190" s="27"/>
    </row>
    <row r="191" spans="3:5" s="4" customFormat="1" x14ac:dyDescent="0.25">
      <c r="C191" s="27"/>
      <c r="D191" s="27"/>
      <c r="E191" s="27"/>
    </row>
    <row r="192" spans="3:5" s="4" customFormat="1" x14ac:dyDescent="0.25">
      <c r="C192" s="27"/>
      <c r="D192" s="27"/>
      <c r="E192" s="27"/>
    </row>
    <row r="193" spans="3:5" s="4" customFormat="1" x14ac:dyDescent="0.25">
      <c r="C193" s="27"/>
      <c r="D193" s="27"/>
      <c r="E193" s="28"/>
    </row>
    <row r="194" spans="3:5" s="4" customFormat="1" x14ac:dyDescent="0.25">
      <c r="C194" s="27"/>
      <c r="D194" s="27"/>
      <c r="E194" s="28"/>
    </row>
    <row r="195" spans="3:5" s="4" customFormat="1" x14ac:dyDescent="0.25">
      <c r="C195" s="27"/>
      <c r="D195" s="27"/>
      <c r="E195" s="28"/>
    </row>
    <row r="196" spans="3:5" s="4" customFormat="1" x14ac:dyDescent="0.25">
      <c r="C196" s="27"/>
      <c r="D196" s="27"/>
      <c r="E196" s="28"/>
    </row>
    <row r="197" spans="3:5" s="4" customFormat="1" x14ac:dyDescent="0.25">
      <c r="C197" s="27"/>
      <c r="D197" s="27"/>
      <c r="E197" s="28"/>
    </row>
    <row r="198" spans="3:5" s="4" customFormat="1" x14ac:dyDescent="0.25">
      <c r="C198" s="27"/>
      <c r="D198" s="27"/>
      <c r="E198" s="28"/>
    </row>
    <row r="199" spans="3:5" s="4" customFormat="1" x14ac:dyDescent="0.25">
      <c r="C199" s="27"/>
      <c r="D199" s="27"/>
      <c r="E199" s="28"/>
    </row>
    <row r="200" spans="3:5" s="4" customFormat="1" x14ac:dyDescent="0.25">
      <c r="C200" s="27"/>
      <c r="D200" s="27"/>
      <c r="E200" s="28"/>
    </row>
    <row r="201" spans="3:5" s="4" customFormat="1" x14ac:dyDescent="0.25">
      <c r="C201" s="27"/>
      <c r="D201" s="27"/>
      <c r="E201" s="28"/>
    </row>
    <row r="202" spans="3:5" s="4" customFormat="1" x14ac:dyDescent="0.25">
      <c r="C202" s="27"/>
      <c r="D202" s="27"/>
      <c r="E202" s="28"/>
    </row>
    <row r="203" spans="3:5" s="4" customFormat="1" x14ac:dyDescent="0.25">
      <c r="C203" s="27"/>
      <c r="D203" s="27"/>
      <c r="E203" s="27"/>
    </row>
    <row r="204" spans="3:5" s="4" customFormat="1" x14ac:dyDescent="0.25">
      <c r="C204" s="27"/>
      <c r="D204" s="27"/>
      <c r="E204" s="27"/>
    </row>
    <row r="205" spans="3:5" s="4" customFormat="1" x14ac:dyDescent="0.25">
      <c r="C205" s="27"/>
      <c r="D205" s="27"/>
      <c r="E205" s="27"/>
    </row>
    <row r="206" spans="3:5" s="4" customFormat="1" x14ac:dyDescent="0.25">
      <c r="C206" s="27"/>
      <c r="D206" s="27"/>
      <c r="E206" s="27"/>
    </row>
    <row r="207" spans="3:5" s="4" customFormat="1" x14ac:dyDescent="0.25">
      <c r="C207" s="27"/>
      <c r="D207" s="27"/>
      <c r="E207" s="28"/>
    </row>
    <row r="208" spans="3:5" s="4" customFormat="1" x14ac:dyDescent="0.25">
      <c r="C208" s="27"/>
      <c r="D208" s="27"/>
      <c r="E208" s="28"/>
    </row>
    <row r="209" spans="3:5" s="4" customFormat="1" x14ac:dyDescent="0.25">
      <c r="C209" s="27"/>
      <c r="D209" s="27"/>
      <c r="E209" s="28"/>
    </row>
    <row r="210" spans="3:5" s="4" customFormat="1" x14ac:dyDescent="0.25">
      <c r="C210" s="27"/>
      <c r="D210" s="27"/>
      <c r="E210" s="28"/>
    </row>
    <row r="211" spans="3:5" s="4" customFormat="1" x14ac:dyDescent="0.25">
      <c r="C211" s="27"/>
      <c r="D211" s="27"/>
      <c r="E211" s="28"/>
    </row>
    <row r="212" spans="3:5" s="4" customFormat="1" x14ac:dyDescent="0.25">
      <c r="C212" s="27"/>
      <c r="D212" s="27"/>
      <c r="E212" s="28"/>
    </row>
    <row r="213" spans="3:5" s="4" customFormat="1" x14ac:dyDescent="0.25">
      <c r="C213" s="27"/>
      <c r="D213" s="27"/>
      <c r="E213" s="28"/>
    </row>
    <row r="214" spans="3:5" s="4" customFormat="1" x14ac:dyDescent="0.25">
      <c r="C214" s="27"/>
      <c r="D214" s="27"/>
      <c r="E214" s="28"/>
    </row>
    <row r="215" spans="3:5" s="4" customFormat="1" x14ac:dyDescent="0.25">
      <c r="C215" s="27"/>
      <c r="D215" s="27"/>
      <c r="E215" s="28"/>
    </row>
    <row r="216" spans="3:5" s="4" customFormat="1" x14ac:dyDescent="0.25">
      <c r="C216" s="27"/>
      <c r="D216" s="27"/>
      <c r="E216" s="28"/>
    </row>
    <row r="217" spans="3:5" s="4" customFormat="1" x14ac:dyDescent="0.25">
      <c r="C217" s="27"/>
      <c r="D217" s="27"/>
      <c r="E217" s="28"/>
    </row>
    <row r="218" spans="3:5" s="4" customFormat="1" x14ac:dyDescent="0.25">
      <c r="C218" s="27"/>
      <c r="D218" s="27"/>
      <c r="E218" s="28"/>
    </row>
    <row r="219" spans="3:5" s="4" customFormat="1" x14ac:dyDescent="0.25">
      <c r="C219" s="27"/>
      <c r="D219" s="27"/>
      <c r="E219" s="28"/>
    </row>
    <row r="220" spans="3:5" s="4" customFormat="1" x14ac:dyDescent="0.25">
      <c r="C220" s="27"/>
      <c r="D220" s="27"/>
      <c r="E220" s="28"/>
    </row>
    <row r="221" spans="3:5" s="4" customFormat="1" x14ac:dyDescent="0.25">
      <c r="C221" s="27"/>
      <c r="D221" s="27"/>
      <c r="E221" s="28"/>
    </row>
    <row r="222" spans="3:5" s="4" customFormat="1" x14ac:dyDescent="0.25">
      <c r="C222" s="27"/>
      <c r="D222" s="27"/>
      <c r="E222" s="28"/>
    </row>
    <row r="223" spans="3:5" s="4" customFormat="1" x14ac:dyDescent="0.25">
      <c r="C223" s="27"/>
      <c r="D223" s="27"/>
      <c r="E223" s="28"/>
    </row>
    <row r="224" spans="3:5" s="4" customFormat="1" x14ac:dyDescent="0.25">
      <c r="C224" s="27"/>
      <c r="D224" s="27"/>
      <c r="E224" s="28"/>
    </row>
    <row r="225" spans="3:5" s="4" customFormat="1" x14ac:dyDescent="0.25">
      <c r="C225" s="27"/>
      <c r="D225" s="27"/>
      <c r="E225" s="27"/>
    </row>
    <row r="226" spans="3:5" s="4" customFormat="1" x14ac:dyDescent="0.25">
      <c r="C226" s="27"/>
      <c r="D226" s="27"/>
      <c r="E226" s="27"/>
    </row>
    <row r="227" spans="3:5" s="4" customFormat="1" x14ac:dyDescent="0.25">
      <c r="C227" s="27"/>
      <c r="D227" s="27"/>
      <c r="E227" s="27"/>
    </row>
    <row r="228" spans="3:5" s="4" customFormat="1" x14ac:dyDescent="0.25">
      <c r="C228" s="27"/>
      <c r="D228" s="27"/>
      <c r="E228" s="27"/>
    </row>
    <row r="229" spans="3:5" s="4" customFormat="1" x14ac:dyDescent="0.25">
      <c r="C229" s="27"/>
      <c r="D229" s="27"/>
      <c r="E229" s="27"/>
    </row>
    <row r="230" spans="3:5" s="4" customFormat="1" x14ac:dyDescent="0.25">
      <c r="C230" s="27"/>
      <c r="D230" s="27"/>
      <c r="E230" s="27"/>
    </row>
    <row r="231" spans="3:5" s="4" customFormat="1" x14ac:dyDescent="0.25">
      <c r="C231" s="27"/>
      <c r="D231" s="27"/>
      <c r="E231" s="27"/>
    </row>
    <row r="232" spans="3:5" s="4" customFormat="1" x14ac:dyDescent="0.25">
      <c r="C232" s="27"/>
      <c r="D232" s="27"/>
      <c r="E232" s="27"/>
    </row>
    <row r="233" spans="3:5" s="4" customFormat="1" x14ac:dyDescent="0.25">
      <c r="C233" s="27"/>
      <c r="D233" s="27"/>
      <c r="E233" s="27"/>
    </row>
    <row r="234" spans="3:5" s="4" customFormat="1" x14ac:dyDescent="0.25">
      <c r="C234" s="27"/>
      <c r="D234" s="27"/>
      <c r="E234" s="27"/>
    </row>
    <row r="235" spans="3:5" s="4" customFormat="1" x14ac:dyDescent="0.25">
      <c r="C235" s="27"/>
      <c r="D235" s="27"/>
      <c r="E235" s="27"/>
    </row>
    <row r="236" spans="3:5" s="4" customFormat="1" x14ac:dyDescent="0.25">
      <c r="C236" s="27"/>
      <c r="D236" s="27"/>
      <c r="E236" s="27"/>
    </row>
    <row r="237" spans="3:5" s="4" customFormat="1" x14ac:dyDescent="0.25">
      <c r="C237" s="27"/>
      <c r="D237" s="27"/>
      <c r="E237" s="27"/>
    </row>
    <row r="238" spans="3:5" s="4" customFormat="1" x14ac:dyDescent="0.25">
      <c r="C238" s="27"/>
      <c r="D238" s="27"/>
      <c r="E238" s="27"/>
    </row>
    <row r="239" spans="3:5" s="4" customFormat="1" x14ac:dyDescent="0.25">
      <c r="C239" s="27"/>
      <c r="D239" s="27"/>
      <c r="E239" s="27"/>
    </row>
    <row r="240" spans="3:5" s="4" customFormat="1" x14ac:dyDescent="0.25">
      <c r="C240" s="27"/>
      <c r="D240" s="27"/>
      <c r="E240" s="27"/>
    </row>
    <row r="241" spans="3:5" s="4" customFormat="1" x14ac:dyDescent="0.25">
      <c r="C241" s="27"/>
      <c r="D241" s="27"/>
      <c r="E241" s="27"/>
    </row>
    <row r="242" spans="3:5" s="4" customFormat="1" x14ac:dyDescent="0.25">
      <c r="C242" s="27"/>
      <c r="D242" s="27"/>
      <c r="E242" s="27"/>
    </row>
    <row r="243" spans="3:5" s="4" customFormat="1" x14ac:dyDescent="0.25">
      <c r="C243" s="27"/>
      <c r="D243" s="27"/>
      <c r="E243" s="27"/>
    </row>
    <row r="244" spans="3:5" s="4" customFormat="1" x14ac:dyDescent="0.25">
      <c r="C244" s="27"/>
      <c r="D244" s="27"/>
      <c r="E244" s="27"/>
    </row>
    <row r="245" spans="3:5" s="4" customFormat="1" x14ac:dyDescent="0.25">
      <c r="C245" s="27"/>
      <c r="D245" s="27"/>
      <c r="E245" s="27"/>
    </row>
    <row r="246" spans="3:5" s="4" customFormat="1" x14ac:dyDescent="0.25">
      <c r="C246" s="27"/>
      <c r="D246" s="27"/>
      <c r="E246" s="27"/>
    </row>
    <row r="247" spans="3:5" s="4" customFormat="1" x14ac:dyDescent="0.25">
      <c r="C247" s="27"/>
      <c r="D247" s="27"/>
      <c r="E247" s="27"/>
    </row>
    <row r="248" spans="3:5" s="4" customFormat="1" x14ac:dyDescent="0.25">
      <c r="C248" s="27"/>
      <c r="D248" s="27"/>
      <c r="E248" s="28"/>
    </row>
    <row r="249" spans="3:5" s="4" customFormat="1" x14ac:dyDescent="0.25">
      <c r="C249" s="27"/>
      <c r="D249" s="27"/>
      <c r="E249" s="27"/>
    </row>
    <row r="250" spans="3:5" s="4" customFormat="1" x14ac:dyDescent="0.25">
      <c r="C250" s="27"/>
      <c r="D250" s="27"/>
      <c r="E250" s="27"/>
    </row>
    <row r="251" spans="3:5" s="4" customFormat="1" x14ac:dyDescent="0.25">
      <c r="C251" s="27"/>
      <c r="D251" s="27"/>
      <c r="E251" s="28"/>
    </row>
    <row r="252" spans="3:5" s="4" customFormat="1" x14ac:dyDescent="0.25">
      <c r="C252" s="27"/>
      <c r="D252" s="27"/>
      <c r="E252" s="28"/>
    </row>
    <row r="253" spans="3:5" s="4" customFormat="1" x14ac:dyDescent="0.25">
      <c r="C253" s="27"/>
      <c r="D253" s="27"/>
      <c r="E253" s="28"/>
    </row>
    <row r="254" spans="3:5" s="4" customFormat="1" x14ac:dyDescent="0.25">
      <c r="C254" s="27"/>
      <c r="D254" s="27"/>
      <c r="E254" s="27"/>
    </row>
    <row r="255" spans="3:5" s="4" customFormat="1" x14ac:dyDescent="0.25">
      <c r="C255" s="27"/>
      <c r="D255" s="27"/>
      <c r="E255" s="27"/>
    </row>
    <row r="256" spans="3:5" s="4" customFormat="1" x14ac:dyDescent="0.25">
      <c r="C256" s="27"/>
      <c r="D256" s="27"/>
      <c r="E256" s="27"/>
    </row>
    <row r="257" spans="3:5" s="4" customFormat="1" x14ac:dyDescent="0.25">
      <c r="C257" s="27"/>
      <c r="D257" s="27"/>
      <c r="E257" s="27"/>
    </row>
    <row r="258" spans="3:5" s="4" customFormat="1" x14ac:dyDescent="0.25">
      <c r="C258" s="27"/>
      <c r="D258" s="27"/>
      <c r="E258" s="27"/>
    </row>
    <row r="259" spans="3:5" s="4" customFormat="1" x14ac:dyDescent="0.25">
      <c r="C259" s="27"/>
      <c r="D259" s="27"/>
      <c r="E259" s="27"/>
    </row>
    <row r="260" spans="3:5" s="4" customFormat="1" x14ac:dyDescent="0.25">
      <c r="C260" s="27"/>
      <c r="D260" s="27"/>
      <c r="E260" s="27"/>
    </row>
    <row r="261" spans="3:5" s="4" customFormat="1" x14ac:dyDescent="0.25">
      <c r="C261" s="27"/>
      <c r="D261" s="27"/>
      <c r="E261" s="27"/>
    </row>
    <row r="262" spans="3:5" s="4" customFormat="1" x14ac:dyDescent="0.25">
      <c r="C262" s="27"/>
      <c r="D262" s="27"/>
      <c r="E262" s="27"/>
    </row>
    <row r="263" spans="3:5" s="4" customFormat="1" x14ac:dyDescent="0.25">
      <c r="C263" s="27"/>
      <c r="D263" s="27"/>
      <c r="E263" s="28"/>
    </row>
    <row r="264" spans="3:5" s="4" customFormat="1" x14ac:dyDescent="0.25">
      <c r="C264" s="27"/>
      <c r="D264" s="27"/>
      <c r="E264" s="27"/>
    </row>
    <row r="265" spans="3:5" s="4" customFormat="1" x14ac:dyDescent="0.25">
      <c r="C265" s="27"/>
      <c r="D265" s="27"/>
      <c r="E265" s="28"/>
    </row>
    <row r="266" spans="3:5" s="4" customFormat="1" x14ac:dyDescent="0.25">
      <c r="C266" s="27"/>
      <c r="D266" s="27"/>
      <c r="E266" s="28"/>
    </row>
    <row r="267" spans="3:5" s="4" customFormat="1" x14ac:dyDescent="0.25">
      <c r="C267" s="27"/>
      <c r="D267" s="27"/>
      <c r="E267" s="28"/>
    </row>
    <row r="268" spans="3:5" s="4" customFormat="1" x14ac:dyDescent="0.25">
      <c r="C268" s="27"/>
      <c r="D268" s="27"/>
      <c r="E268" s="27"/>
    </row>
    <row r="269" spans="3:5" s="4" customFormat="1" x14ac:dyDescent="0.25">
      <c r="C269" s="27"/>
      <c r="D269" s="27"/>
      <c r="E269" s="27"/>
    </row>
    <row r="270" spans="3:5" s="4" customFormat="1" x14ac:dyDescent="0.25">
      <c r="C270" s="27"/>
      <c r="D270" s="27"/>
      <c r="E270" s="27"/>
    </row>
    <row r="271" spans="3:5" s="4" customFormat="1" x14ac:dyDescent="0.25">
      <c r="C271" s="27"/>
      <c r="D271" s="27"/>
      <c r="E271" s="28"/>
    </row>
    <row r="272" spans="3:5" s="4" customFormat="1" x14ac:dyDescent="0.25">
      <c r="C272" s="27"/>
      <c r="D272" s="27"/>
      <c r="E272" s="27"/>
    </row>
    <row r="273" spans="3:5" s="4" customFormat="1" x14ac:dyDescent="0.25">
      <c r="C273" s="27"/>
      <c r="D273" s="27"/>
      <c r="E273" s="27"/>
    </row>
    <row r="274" spans="3:5" s="4" customFormat="1" x14ac:dyDescent="0.25">
      <c r="C274" s="27"/>
      <c r="D274" s="27"/>
      <c r="E274" s="28"/>
    </row>
    <row r="275" spans="3:5" s="4" customFormat="1" x14ac:dyDescent="0.25">
      <c r="C275" s="27"/>
      <c r="D275" s="27"/>
      <c r="E275" s="27"/>
    </row>
    <row r="276" spans="3:5" s="4" customFormat="1" x14ac:dyDescent="0.25">
      <c r="C276" s="27"/>
      <c r="D276" s="27"/>
      <c r="E276" s="27"/>
    </row>
    <row r="277" spans="3:5" s="4" customFormat="1" x14ac:dyDescent="0.25">
      <c r="C277" s="27"/>
      <c r="D277" s="27"/>
      <c r="E277" s="27"/>
    </row>
    <row r="278" spans="3:5" s="4" customFormat="1" x14ac:dyDescent="0.25">
      <c r="C278" s="27"/>
      <c r="D278" s="27"/>
      <c r="E278" s="28"/>
    </row>
    <row r="279" spans="3:5" s="4" customFormat="1" x14ac:dyDescent="0.25">
      <c r="C279" s="27"/>
      <c r="D279" s="27"/>
      <c r="E279" s="27"/>
    </row>
    <row r="280" spans="3:5" s="4" customFormat="1" x14ac:dyDescent="0.25">
      <c r="C280" s="27"/>
      <c r="D280" s="27"/>
      <c r="E280" s="27"/>
    </row>
    <row r="281" spans="3:5" s="4" customFormat="1" x14ac:dyDescent="0.25">
      <c r="C281" s="27"/>
      <c r="D281" s="27"/>
      <c r="E281" s="27"/>
    </row>
    <row r="282" spans="3:5" s="4" customFormat="1" x14ac:dyDescent="0.25">
      <c r="C282" s="27"/>
      <c r="D282" s="27"/>
      <c r="E282" s="27"/>
    </row>
    <row r="283" spans="3:5" s="4" customFormat="1" x14ac:dyDescent="0.25">
      <c r="C283" s="27"/>
      <c r="D283" s="27"/>
      <c r="E283" s="27"/>
    </row>
    <row r="284" spans="3:5" s="4" customFormat="1" x14ac:dyDescent="0.25">
      <c r="C284" s="27"/>
      <c r="D284" s="27"/>
      <c r="E284" s="27"/>
    </row>
    <row r="285" spans="3:5" s="4" customFormat="1" x14ac:dyDescent="0.25">
      <c r="C285" s="27"/>
      <c r="D285" s="27"/>
      <c r="E285" s="27"/>
    </row>
    <row r="286" spans="3:5" s="4" customFormat="1" x14ac:dyDescent="0.25">
      <c r="C286" s="27"/>
      <c r="D286" s="27"/>
      <c r="E286" s="27"/>
    </row>
    <row r="287" spans="3:5" s="4" customFormat="1" x14ac:dyDescent="0.25">
      <c r="C287" s="27"/>
      <c r="D287" s="27"/>
      <c r="E287" s="27"/>
    </row>
    <row r="288" spans="3:5" s="4" customFormat="1" x14ac:dyDescent="0.25">
      <c r="C288" s="27"/>
      <c r="D288" s="27"/>
      <c r="E288" s="27"/>
    </row>
    <row r="289" spans="3:5" s="4" customFormat="1" x14ac:dyDescent="0.25">
      <c r="C289" s="27"/>
      <c r="D289" s="27"/>
      <c r="E289" s="27"/>
    </row>
    <row r="290" spans="3:5" s="4" customFormat="1" x14ac:dyDescent="0.25">
      <c r="C290" s="27"/>
      <c r="D290" s="27"/>
      <c r="E290" s="27"/>
    </row>
    <row r="291" spans="3:5" s="4" customFormat="1" x14ac:dyDescent="0.25">
      <c r="C291" s="27"/>
      <c r="D291" s="27"/>
      <c r="E291" s="27"/>
    </row>
    <row r="292" spans="3:5" s="4" customFormat="1" x14ac:dyDescent="0.25">
      <c r="C292" s="27"/>
      <c r="D292" s="27"/>
      <c r="E292" s="27"/>
    </row>
    <row r="293" spans="3:5" s="4" customFormat="1" x14ac:dyDescent="0.25">
      <c r="C293" s="27"/>
      <c r="D293" s="27"/>
      <c r="E293" s="27"/>
    </row>
    <row r="294" spans="3:5" s="4" customFormat="1" x14ac:dyDescent="0.25">
      <c r="C294" s="27"/>
      <c r="D294" s="27"/>
      <c r="E294" s="27"/>
    </row>
    <row r="295" spans="3:5" s="4" customFormat="1" x14ac:dyDescent="0.25">
      <c r="C295" s="27"/>
      <c r="D295" s="27"/>
      <c r="E295" s="27"/>
    </row>
    <row r="296" spans="3:5" s="4" customFormat="1" x14ac:dyDescent="0.25">
      <c r="C296" s="27"/>
      <c r="D296" s="27"/>
      <c r="E296" s="27"/>
    </row>
    <row r="297" spans="3:5" s="4" customFormat="1" x14ac:dyDescent="0.25">
      <c r="C297" s="27"/>
      <c r="D297" s="27"/>
      <c r="E297" s="27"/>
    </row>
    <row r="298" spans="3:5" s="4" customFormat="1" x14ac:dyDescent="0.25">
      <c r="C298" s="27"/>
      <c r="D298" s="27"/>
      <c r="E298" s="27"/>
    </row>
    <row r="299" spans="3:5" s="4" customFormat="1" x14ac:dyDescent="0.25">
      <c r="C299" s="27"/>
      <c r="D299" s="27"/>
      <c r="E299" s="27"/>
    </row>
    <row r="300" spans="3:5" s="4" customFormat="1" x14ac:dyDescent="0.25">
      <c r="C300" s="27"/>
      <c r="D300" s="27"/>
      <c r="E300" s="27"/>
    </row>
    <row r="301" spans="3:5" s="4" customFormat="1" x14ac:dyDescent="0.25">
      <c r="C301" s="27"/>
      <c r="D301" s="27"/>
      <c r="E301" s="27"/>
    </row>
    <row r="302" spans="3:5" s="4" customFormat="1" x14ac:dyDescent="0.25">
      <c r="C302" s="27"/>
      <c r="D302" s="27"/>
      <c r="E302" s="27"/>
    </row>
    <row r="303" spans="3:5" s="4" customFormat="1" x14ac:dyDescent="0.25">
      <c r="C303" s="27"/>
      <c r="D303" s="27"/>
      <c r="E303" s="27"/>
    </row>
    <row r="304" spans="3:5" s="4" customFormat="1" x14ac:dyDescent="0.25">
      <c r="C304" s="27"/>
      <c r="D304" s="27"/>
      <c r="E304" s="27"/>
    </row>
    <row r="305" spans="3:5" s="4" customFormat="1" x14ac:dyDescent="0.25">
      <c r="C305" s="27"/>
      <c r="D305" s="27"/>
      <c r="E305" s="27"/>
    </row>
    <row r="306" spans="3:5" s="4" customFormat="1" x14ac:dyDescent="0.25">
      <c r="C306" s="27"/>
      <c r="D306" s="27"/>
      <c r="E306" s="27"/>
    </row>
    <row r="307" spans="3:5" s="4" customFormat="1" x14ac:dyDescent="0.25">
      <c r="C307" s="27"/>
      <c r="D307" s="27"/>
      <c r="E307" s="27"/>
    </row>
    <row r="308" spans="3:5" s="4" customFormat="1" x14ac:dyDescent="0.25">
      <c r="C308" s="27"/>
      <c r="D308" s="27"/>
      <c r="E308" s="27"/>
    </row>
    <row r="309" spans="3:5" s="4" customFormat="1" x14ac:dyDescent="0.25">
      <c r="C309" s="27"/>
      <c r="D309" s="27"/>
      <c r="E309" s="27"/>
    </row>
    <row r="310" spans="3:5" s="4" customFormat="1" x14ac:dyDescent="0.25">
      <c r="C310" s="27"/>
      <c r="D310" s="27"/>
      <c r="E310" s="27"/>
    </row>
    <row r="311" spans="3:5" s="4" customFormat="1" x14ac:dyDescent="0.25">
      <c r="C311" s="27"/>
      <c r="D311" s="27"/>
      <c r="E311" s="27"/>
    </row>
    <row r="312" spans="3:5" s="4" customFormat="1" x14ac:dyDescent="0.25">
      <c r="C312" s="27"/>
      <c r="D312" s="27"/>
      <c r="E312" s="27"/>
    </row>
    <row r="313" spans="3:5" s="4" customFormat="1" x14ac:dyDescent="0.25">
      <c r="C313" s="27"/>
      <c r="D313" s="27"/>
      <c r="E313" s="27"/>
    </row>
    <row r="314" spans="3:5" s="4" customFormat="1" x14ac:dyDescent="0.25">
      <c r="C314" s="27"/>
      <c r="D314" s="27"/>
      <c r="E314" s="27"/>
    </row>
    <row r="315" spans="3:5" s="4" customFormat="1" x14ac:dyDescent="0.25">
      <c r="C315" s="27"/>
      <c r="D315" s="27"/>
      <c r="E315" s="27"/>
    </row>
    <row r="316" spans="3:5" s="4" customFormat="1" x14ac:dyDescent="0.25">
      <c r="C316" s="27"/>
      <c r="D316" s="27"/>
      <c r="E316" s="27"/>
    </row>
    <row r="317" spans="3:5" s="4" customFormat="1" x14ac:dyDescent="0.25">
      <c r="C317" s="27"/>
      <c r="D317" s="27"/>
      <c r="E317" s="27"/>
    </row>
    <row r="318" spans="3:5" s="4" customFormat="1" x14ac:dyDescent="0.25">
      <c r="C318" s="27"/>
      <c r="D318" s="27"/>
      <c r="E318" s="27"/>
    </row>
    <row r="319" spans="3:5" s="4" customFormat="1" x14ac:dyDescent="0.25">
      <c r="C319" s="27"/>
      <c r="D319" s="27"/>
      <c r="E319" s="27"/>
    </row>
    <row r="320" spans="3:5" s="4" customFormat="1" x14ac:dyDescent="0.25">
      <c r="C320" s="27"/>
      <c r="D320" s="27"/>
      <c r="E320" s="27"/>
    </row>
    <row r="321" spans="2:5" s="4" customFormat="1" x14ac:dyDescent="0.25">
      <c r="C321" s="27"/>
      <c r="D321" s="27"/>
      <c r="E321" s="27"/>
    </row>
    <row r="322" spans="2:5" s="4" customFormat="1" x14ac:dyDescent="0.25">
      <c r="C322" s="27"/>
      <c r="D322" s="27"/>
      <c r="E322" s="27"/>
    </row>
    <row r="323" spans="2:5" s="4" customFormat="1" x14ac:dyDescent="0.25">
      <c r="C323" s="27"/>
      <c r="D323" s="27"/>
      <c r="E323" s="27"/>
    </row>
    <row r="324" spans="2:5" s="4" customFormat="1" x14ac:dyDescent="0.25">
      <c r="C324" s="27"/>
      <c r="D324" s="27"/>
      <c r="E324" s="27"/>
    </row>
    <row r="325" spans="2:5" s="4" customFormat="1" x14ac:dyDescent="0.25">
      <c r="C325" s="27"/>
      <c r="D325" s="27"/>
      <c r="E325" s="27"/>
    </row>
    <row r="326" spans="2:5" s="4" customFormat="1" x14ac:dyDescent="0.25">
      <c r="C326" s="27"/>
      <c r="D326" s="27"/>
      <c r="E326" s="27"/>
    </row>
    <row r="327" spans="2:5" s="4" customFormat="1" x14ac:dyDescent="0.25">
      <c r="C327" s="27"/>
      <c r="D327" s="27"/>
      <c r="E327" s="27"/>
    </row>
    <row r="328" spans="2:5" s="4" customFormat="1" x14ac:dyDescent="0.25">
      <c r="C328" s="27"/>
      <c r="D328" s="27"/>
      <c r="E328" s="27"/>
    </row>
    <row r="329" spans="2:5" s="4" customFormat="1" x14ac:dyDescent="0.25">
      <c r="C329" s="27"/>
      <c r="D329" s="27"/>
      <c r="E329" s="27"/>
    </row>
    <row r="330" spans="2:5" s="4" customFormat="1" x14ac:dyDescent="0.25">
      <c r="C330" s="27"/>
      <c r="D330" s="27"/>
      <c r="E330" s="27"/>
    </row>
    <row r="331" spans="2:5" s="4" customFormat="1" x14ac:dyDescent="0.25">
      <c r="C331" s="27"/>
      <c r="D331" s="27"/>
      <c r="E331" s="27"/>
    </row>
    <row r="332" spans="2:5" s="4" customFormat="1" x14ac:dyDescent="0.25">
      <c r="C332" s="27"/>
      <c r="D332" s="27"/>
      <c r="E332" s="27"/>
    </row>
    <row r="333" spans="2:5" s="4" customFormat="1" x14ac:dyDescent="0.25">
      <c r="C333" s="27"/>
      <c r="D333" s="27"/>
      <c r="E333" s="27"/>
    </row>
    <row r="334" spans="2:5" s="4" customFormat="1" x14ac:dyDescent="0.25">
      <c r="C334" s="27"/>
      <c r="D334" s="27"/>
      <c r="E334" s="27"/>
    </row>
    <row r="335" spans="2:5" x14ac:dyDescent="0.25">
      <c r="B335" s="3"/>
    </row>
  </sheetData>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heetViews>
  <sheetFormatPr defaultRowHeight="15" x14ac:dyDescent="0.25"/>
  <cols>
    <col min="1" max="1" width="12.42578125" customWidth="1"/>
    <col min="2" max="2" width="46.85546875" customWidth="1"/>
    <col min="3" max="3" width="14" customWidth="1"/>
    <col min="4" max="4" width="32" customWidth="1"/>
    <col min="5" max="5" width="15.7109375" customWidth="1"/>
    <col min="6" max="6" width="49" customWidth="1"/>
    <col min="7" max="7" width="36.140625" customWidth="1"/>
    <col min="8" max="8" width="30.85546875" customWidth="1"/>
  </cols>
  <sheetData>
    <row r="1" spans="1:8" s="1" customFormat="1" ht="60" x14ac:dyDescent="0.25">
      <c r="A1" s="1" t="s">
        <v>0</v>
      </c>
      <c r="B1" s="1" t="s">
        <v>1</v>
      </c>
      <c r="C1" s="1" t="s">
        <v>4</v>
      </c>
      <c r="D1" s="1" t="s">
        <v>2</v>
      </c>
      <c r="E1" s="17" t="s">
        <v>1579</v>
      </c>
      <c r="F1" s="1" t="s">
        <v>7</v>
      </c>
      <c r="G1" s="45" t="s">
        <v>10</v>
      </c>
      <c r="H1" s="1" t="s">
        <v>3</v>
      </c>
    </row>
    <row r="2" spans="1:8" s="8" customFormat="1" x14ac:dyDescent="0.25">
      <c r="A2" s="8" t="s">
        <v>25</v>
      </c>
      <c r="B2" s="8" t="s">
        <v>49</v>
      </c>
      <c r="C2" s="8" t="s">
        <v>50</v>
      </c>
      <c r="D2" s="8" t="s">
        <v>6</v>
      </c>
      <c r="E2" s="33">
        <v>6.13</v>
      </c>
      <c r="F2" s="13" t="s">
        <v>15</v>
      </c>
      <c r="G2" s="32" t="s">
        <v>131</v>
      </c>
      <c r="H2" s="8" t="s">
        <v>130</v>
      </c>
    </row>
    <row r="3" spans="1:8" s="8" customFormat="1" x14ac:dyDescent="0.25">
      <c r="A3" s="14" t="s">
        <v>25</v>
      </c>
      <c r="B3" s="13" t="s">
        <v>88</v>
      </c>
      <c r="C3" s="15" t="s">
        <v>50</v>
      </c>
      <c r="D3" s="18" t="s">
        <v>46</v>
      </c>
      <c r="E3" s="34">
        <v>0.46</v>
      </c>
      <c r="F3" s="18" t="s">
        <v>9</v>
      </c>
      <c r="G3" s="13" t="s">
        <v>181</v>
      </c>
      <c r="H3" s="11" t="s">
        <v>1633</v>
      </c>
    </row>
    <row r="4" spans="1:8" s="8" customFormat="1" x14ac:dyDescent="0.25">
      <c r="A4" s="14" t="s">
        <v>25</v>
      </c>
      <c r="B4" s="8" t="s">
        <v>26</v>
      </c>
      <c r="C4" s="8" t="s">
        <v>27</v>
      </c>
      <c r="D4" s="8" t="s">
        <v>18</v>
      </c>
      <c r="E4" s="33">
        <v>9.67</v>
      </c>
      <c r="F4" s="8" t="s">
        <v>28</v>
      </c>
      <c r="G4" s="32" t="s">
        <v>180</v>
      </c>
      <c r="H4" s="8" t="s">
        <v>48</v>
      </c>
    </row>
    <row r="5" spans="1:8" s="8" customFormat="1" x14ac:dyDescent="0.25">
      <c r="A5" s="14" t="s">
        <v>25</v>
      </c>
      <c r="B5" s="8" t="s">
        <v>47</v>
      </c>
      <c r="C5" s="8" t="s">
        <v>27</v>
      </c>
      <c r="D5" s="8" t="s">
        <v>5</v>
      </c>
      <c r="E5" s="12">
        <v>3.28</v>
      </c>
      <c r="F5" s="8" t="s">
        <v>8</v>
      </c>
      <c r="G5" s="8" t="s">
        <v>1672</v>
      </c>
      <c r="H5" s="8" t="s">
        <v>1675</v>
      </c>
    </row>
    <row r="6" spans="1:8" x14ac:dyDescent="0.25">
      <c r="A6" s="14" t="s">
        <v>25</v>
      </c>
      <c r="B6" t="s">
        <v>1671</v>
      </c>
      <c r="C6" s="18" t="s">
        <v>125</v>
      </c>
      <c r="D6" t="s">
        <v>5</v>
      </c>
      <c r="E6" s="20">
        <v>3.62</v>
      </c>
      <c r="F6" t="s">
        <v>8</v>
      </c>
      <c r="G6" s="18" t="s">
        <v>1673</v>
      </c>
      <c r="H6" s="11" t="s">
        <v>1674</v>
      </c>
    </row>
    <row r="7" spans="1:8" s="8" customFormat="1" x14ac:dyDescent="0.25">
      <c r="A7" s="14" t="s">
        <v>25</v>
      </c>
      <c r="B7" s="13" t="s">
        <v>51</v>
      </c>
      <c r="C7" s="18" t="s">
        <v>125</v>
      </c>
      <c r="D7" s="13" t="s">
        <v>18</v>
      </c>
      <c r="E7" s="20">
        <v>2.93</v>
      </c>
      <c r="F7" s="18" t="s">
        <v>13</v>
      </c>
      <c r="G7" s="8" t="s">
        <v>179</v>
      </c>
      <c r="H7" s="11" t="s">
        <v>1633</v>
      </c>
    </row>
    <row r="8" spans="1:8" s="11" customFormat="1" x14ac:dyDescent="0.25">
      <c r="A8" s="11" t="s">
        <v>25</v>
      </c>
      <c r="B8" s="15" t="s">
        <v>55</v>
      </c>
      <c r="C8" s="15" t="s">
        <v>29</v>
      </c>
      <c r="D8" s="15" t="s">
        <v>18</v>
      </c>
      <c r="E8" s="22">
        <v>0.99</v>
      </c>
      <c r="F8" s="15" t="s">
        <v>28</v>
      </c>
      <c r="G8" s="11" t="s">
        <v>1676</v>
      </c>
      <c r="H8" s="11" t="s">
        <v>1633</v>
      </c>
    </row>
    <row r="9" spans="1:8" s="11" customFormat="1" x14ac:dyDescent="0.25">
      <c r="A9" s="11" t="s">
        <v>25</v>
      </c>
      <c r="B9" s="15" t="s">
        <v>56</v>
      </c>
      <c r="C9" s="13" t="s">
        <v>29</v>
      </c>
      <c r="D9" s="15" t="s">
        <v>18</v>
      </c>
      <c r="E9" s="71">
        <f>487/5280</f>
        <v>9.2234848484848489E-2</v>
      </c>
      <c r="F9" s="15" t="s">
        <v>13</v>
      </c>
      <c r="G9" s="11" t="s">
        <v>178</v>
      </c>
      <c r="H9" s="11" t="s">
        <v>1633</v>
      </c>
    </row>
    <row r="10" spans="1:8" s="8" customFormat="1" x14ac:dyDescent="0.25">
      <c r="A10" s="14" t="s">
        <v>25</v>
      </c>
      <c r="B10" s="15" t="s">
        <v>124</v>
      </c>
      <c r="C10" s="13" t="s">
        <v>29</v>
      </c>
      <c r="D10" s="13" t="s">
        <v>52</v>
      </c>
      <c r="E10" s="68">
        <f>8044/5280</f>
        <v>1.5234848484848484</v>
      </c>
      <c r="F10" s="13" t="s">
        <v>13</v>
      </c>
      <c r="G10" s="32" t="s">
        <v>1677</v>
      </c>
      <c r="H10" s="11" t="s">
        <v>1633</v>
      </c>
    </row>
    <row r="11" spans="1:8" s="8" customFormat="1" x14ac:dyDescent="0.25">
      <c r="A11" s="14" t="s">
        <v>25</v>
      </c>
      <c r="B11" s="15" t="s">
        <v>53</v>
      </c>
      <c r="C11" s="13" t="s">
        <v>29</v>
      </c>
      <c r="D11" s="13" t="s">
        <v>5</v>
      </c>
      <c r="E11" s="68">
        <v>0.7</v>
      </c>
      <c r="F11" s="13" t="s">
        <v>8</v>
      </c>
      <c r="G11" s="8" t="s">
        <v>177</v>
      </c>
      <c r="H11" s="8" t="s">
        <v>92</v>
      </c>
    </row>
    <row r="12" spans="1:8" s="18" customFormat="1" x14ac:dyDescent="0.25">
      <c r="A12" s="18" t="s">
        <v>25</v>
      </c>
      <c r="B12" s="4" t="s">
        <v>135</v>
      </c>
      <c r="C12" s="25" t="s">
        <v>29</v>
      </c>
      <c r="D12" s="25" t="s">
        <v>54</v>
      </c>
      <c r="E12" s="20">
        <v>0.52</v>
      </c>
      <c r="F12" s="40" t="s">
        <v>141</v>
      </c>
      <c r="G12" s="18" t="s">
        <v>176</v>
      </c>
      <c r="H12" s="11" t="s">
        <v>1633</v>
      </c>
    </row>
    <row r="13" spans="1:8" s="8" customFormat="1" x14ac:dyDescent="0.25">
      <c r="A13" s="14" t="s">
        <v>25</v>
      </c>
      <c r="B13" s="23" t="s">
        <v>30</v>
      </c>
      <c r="C13" s="13" t="s">
        <v>29</v>
      </c>
      <c r="D13" s="13" t="s">
        <v>54</v>
      </c>
      <c r="E13" s="31">
        <v>1.1000000000000001</v>
      </c>
      <c r="F13" s="23" t="s">
        <v>141</v>
      </c>
      <c r="G13" s="8" t="s">
        <v>175</v>
      </c>
      <c r="H13" s="11" t="s">
        <v>1633</v>
      </c>
    </row>
    <row r="14" spans="1:8" s="11" customFormat="1" x14ac:dyDescent="0.25">
      <c r="A14" s="11" t="s">
        <v>25</v>
      </c>
      <c r="B14" s="23" t="s">
        <v>146</v>
      </c>
      <c r="C14" s="13" t="s">
        <v>29</v>
      </c>
      <c r="D14" s="15" t="s">
        <v>137</v>
      </c>
      <c r="E14" s="27">
        <v>1.41</v>
      </c>
      <c r="F14" s="15" t="s">
        <v>136</v>
      </c>
      <c r="G14" s="11" t="s">
        <v>138</v>
      </c>
      <c r="H14" s="11" t="s">
        <v>1633</v>
      </c>
    </row>
    <row r="15" spans="1:8" s="8" customFormat="1" x14ac:dyDescent="0.25">
      <c r="A15" s="14" t="s">
        <v>25</v>
      </c>
      <c r="B15" s="15"/>
      <c r="C15" s="13"/>
      <c r="D15" s="13"/>
      <c r="E15" s="20"/>
      <c r="F15" s="13"/>
    </row>
    <row r="16" spans="1:8" s="18" customFormat="1" x14ac:dyDescent="0.25">
      <c r="B16" s="23"/>
      <c r="C16" s="25"/>
      <c r="D16" s="7" t="s">
        <v>11</v>
      </c>
      <c r="E16" s="38">
        <f>SUM(E2:E15)</f>
        <v>32.425719696969693</v>
      </c>
      <c r="F16" s="39">
        <f>E16/125.33</f>
        <v>0.25872272956969355</v>
      </c>
    </row>
    <row r="20" spans="1:2" x14ac:dyDescent="0.25">
      <c r="A20" s="66" t="s">
        <v>296</v>
      </c>
      <c r="B20" s="66" t="s">
        <v>2358</v>
      </c>
    </row>
    <row r="21" spans="1:2" x14ac:dyDescent="0.25">
      <c r="A21" s="25"/>
      <c r="B21" s="66" t="s">
        <v>2361</v>
      </c>
    </row>
    <row r="22" spans="1:2" x14ac:dyDescent="0.25">
      <c r="A22" s="25"/>
      <c r="B22" s="70" t="s">
        <v>2360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heetViews>
  <sheetFormatPr defaultRowHeight="15" x14ac:dyDescent="0.25"/>
  <cols>
    <col min="1" max="1" width="8.42578125" customWidth="1"/>
    <col min="2" max="2" width="31.42578125" customWidth="1"/>
    <col min="3" max="3" width="11.42578125" customWidth="1"/>
    <col min="4" max="4" width="18.140625" customWidth="1"/>
    <col min="5" max="5" width="15.7109375" customWidth="1"/>
    <col min="6" max="6" width="18.42578125" customWidth="1"/>
    <col min="7" max="7" width="36.140625" customWidth="1"/>
    <col min="8" max="8" width="30.85546875" customWidth="1"/>
  </cols>
  <sheetData>
    <row r="1" spans="1:8" s="1" customFormat="1" ht="60" x14ac:dyDescent="0.25">
      <c r="A1" s="1" t="s">
        <v>0</v>
      </c>
      <c r="B1" s="1" t="s">
        <v>1</v>
      </c>
      <c r="C1" s="1" t="s">
        <v>4</v>
      </c>
      <c r="D1" s="1" t="s">
        <v>2</v>
      </c>
      <c r="E1" s="17" t="s">
        <v>1579</v>
      </c>
      <c r="F1" s="1" t="s">
        <v>7</v>
      </c>
      <c r="G1" s="45" t="s">
        <v>10</v>
      </c>
      <c r="H1" s="1" t="s">
        <v>3</v>
      </c>
    </row>
    <row r="2" spans="1:8" x14ac:dyDescent="0.25">
      <c r="A2" s="19" t="s">
        <v>57</v>
      </c>
      <c r="B2" s="16" t="s">
        <v>64</v>
      </c>
      <c r="C2" s="16" t="s">
        <v>58</v>
      </c>
      <c r="D2" s="16" t="s">
        <v>65</v>
      </c>
      <c r="E2" s="74">
        <f>25592/5280</f>
        <v>4.8469696969696967</v>
      </c>
      <c r="F2" s="16" t="s">
        <v>28</v>
      </c>
      <c r="G2" t="s">
        <v>1678</v>
      </c>
      <c r="H2" s="16" t="s">
        <v>1680</v>
      </c>
    </row>
    <row r="3" spans="1:8" s="25" customFormat="1" x14ac:dyDescent="0.25">
      <c r="A3" s="19" t="s">
        <v>57</v>
      </c>
      <c r="B3" s="25" t="s">
        <v>1681</v>
      </c>
      <c r="C3" s="25" t="s">
        <v>58</v>
      </c>
      <c r="D3" s="25" t="s">
        <v>1682</v>
      </c>
      <c r="E3" s="74">
        <f>1946/5280</f>
        <v>0.36856060606060603</v>
      </c>
      <c r="F3" s="25" t="s">
        <v>9</v>
      </c>
      <c r="G3" s="25" t="s">
        <v>1687</v>
      </c>
      <c r="H3" s="25" t="s">
        <v>1686</v>
      </c>
    </row>
    <row r="4" spans="1:8" s="25" customFormat="1" x14ac:dyDescent="0.25">
      <c r="A4" s="19" t="s">
        <v>57</v>
      </c>
      <c r="B4" s="25" t="s">
        <v>1683</v>
      </c>
      <c r="C4" s="25" t="s">
        <v>58</v>
      </c>
      <c r="D4" s="25" t="s">
        <v>1684</v>
      </c>
      <c r="E4" s="74">
        <f>657/5280</f>
        <v>0.12443181818181819</v>
      </c>
      <c r="F4" s="25" t="s">
        <v>232</v>
      </c>
      <c r="G4" s="76" t="s">
        <v>1685</v>
      </c>
      <c r="H4" s="25" t="s">
        <v>1686</v>
      </c>
    </row>
    <row r="5" spans="1:8" x14ac:dyDescent="0.25">
      <c r="A5" s="19" t="s">
        <v>57</v>
      </c>
      <c r="B5" s="16" t="s">
        <v>66</v>
      </c>
      <c r="C5" s="16" t="s">
        <v>58</v>
      </c>
      <c r="D5" s="16" t="s">
        <v>65</v>
      </c>
      <c r="E5" s="68">
        <f>(26483+7010)/5280</f>
        <v>6.3433712121212125</v>
      </c>
      <c r="F5" s="16" t="s">
        <v>28</v>
      </c>
      <c r="G5" s="40" t="s">
        <v>173</v>
      </c>
      <c r="H5" s="25" t="s">
        <v>1680</v>
      </c>
    </row>
    <row r="6" spans="1:8" s="8" customFormat="1" x14ac:dyDescent="0.25">
      <c r="A6" s="19" t="s">
        <v>57</v>
      </c>
      <c r="B6" s="16" t="s">
        <v>67</v>
      </c>
      <c r="C6" s="16" t="s">
        <v>58</v>
      </c>
      <c r="D6" s="16" t="s">
        <v>65</v>
      </c>
      <c r="E6" s="68">
        <f>(10055+3647)/5280</f>
        <v>2.5950757575757577</v>
      </c>
      <c r="F6" s="16" t="s">
        <v>28</v>
      </c>
      <c r="G6" s="16" t="s">
        <v>1679</v>
      </c>
      <c r="H6" s="25" t="s">
        <v>1680</v>
      </c>
    </row>
    <row r="7" spans="1:8" s="18" customFormat="1" x14ac:dyDescent="0.25">
      <c r="B7" s="25"/>
      <c r="C7" s="25"/>
      <c r="D7" s="7" t="s">
        <v>11</v>
      </c>
      <c r="E7" s="38">
        <f>SUM(E2:E6)</f>
        <v>14.278409090909092</v>
      </c>
      <c r="F7" s="39">
        <f>E7/24.65</f>
        <v>0.57924580490503419</v>
      </c>
      <c r="G7" s="25"/>
      <c r="H7" s="25"/>
    </row>
    <row r="10" spans="1:8" x14ac:dyDescent="0.25">
      <c r="E10" s="34"/>
    </row>
    <row r="11" spans="1:8" x14ac:dyDescent="0.25">
      <c r="A11" s="66" t="s">
        <v>296</v>
      </c>
      <c r="B11" s="66" t="s">
        <v>2358</v>
      </c>
      <c r="E11" s="20"/>
    </row>
    <row r="12" spans="1:8" x14ac:dyDescent="0.25">
      <c r="A12" s="25"/>
      <c r="B12" s="66" t="s">
        <v>2361</v>
      </c>
      <c r="E12" s="20"/>
    </row>
    <row r="13" spans="1:8" x14ac:dyDescent="0.25">
      <c r="A13" s="25"/>
      <c r="B13" s="70" t="s">
        <v>2360</v>
      </c>
      <c r="E13" s="1"/>
    </row>
  </sheetData>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heetViews>
  <sheetFormatPr defaultRowHeight="15" x14ac:dyDescent="0.25"/>
  <cols>
    <col min="1" max="1" width="12.42578125" customWidth="1"/>
    <col min="2" max="2" width="46.85546875" customWidth="1"/>
    <col min="3" max="3" width="14" customWidth="1"/>
    <col min="4" max="4" width="32" customWidth="1"/>
    <col min="5" max="5" width="15.7109375" customWidth="1"/>
    <col min="6" max="6" width="49" customWidth="1"/>
    <col min="7" max="7" width="36.140625" customWidth="1"/>
    <col min="8" max="8" width="30.85546875" customWidth="1"/>
  </cols>
  <sheetData>
    <row r="1" spans="1:8" s="1" customFormat="1" ht="60" x14ac:dyDescent="0.25">
      <c r="A1" s="1" t="s">
        <v>0</v>
      </c>
      <c r="B1" s="1" t="s">
        <v>1</v>
      </c>
      <c r="C1" s="1" t="s">
        <v>4</v>
      </c>
      <c r="D1" s="1" t="s">
        <v>2</v>
      </c>
      <c r="E1" s="17" t="s">
        <v>1579</v>
      </c>
      <c r="F1" s="1" t="s">
        <v>7</v>
      </c>
      <c r="G1" s="45" t="s">
        <v>10</v>
      </c>
      <c r="H1" s="1" t="s">
        <v>3</v>
      </c>
    </row>
    <row r="2" spans="1:8" s="8" customFormat="1" x14ac:dyDescent="0.25">
      <c r="A2" s="18" t="s">
        <v>31</v>
      </c>
      <c r="B2" s="21" t="s">
        <v>32</v>
      </c>
      <c r="C2" s="16" t="s">
        <v>59</v>
      </c>
      <c r="D2" s="16" t="s">
        <v>68</v>
      </c>
      <c r="E2" s="6">
        <v>2</v>
      </c>
      <c r="F2" s="16" t="s">
        <v>28</v>
      </c>
      <c r="G2" s="16" t="s">
        <v>171</v>
      </c>
      <c r="H2" s="16" t="s">
        <v>69</v>
      </c>
    </row>
    <row r="3" spans="1:8" s="8" customFormat="1" x14ac:dyDescent="0.25">
      <c r="A3" s="18" t="s">
        <v>31</v>
      </c>
      <c r="B3" s="16" t="s">
        <v>70</v>
      </c>
      <c r="C3" s="16" t="s">
        <v>59</v>
      </c>
      <c r="D3" s="16" t="s">
        <v>6</v>
      </c>
      <c r="E3" s="20">
        <v>20.100000000000001</v>
      </c>
      <c r="F3" s="16" t="s">
        <v>43</v>
      </c>
      <c r="G3" s="16" t="s">
        <v>172</v>
      </c>
      <c r="H3" s="16"/>
    </row>
    <row r="4" spans="1:8" s="18" customFormat="1" x14ac:dyDescent="0.25">
      <c r="B4" s="25"/>
      <c r="C4" s="25"/>
      <c r="D4" s="7" t="s">
        <v>11</v>
      </c>
      <c r="E4" s="5">
        <f>SUM(E2:E3)</f>
        <v>22.1</v>
      </c>
      <c r="F4" s="39">
        <f>E4/31.1</f>
        <v>0.71061093247588425</v>
      </c>
      <c r="G4" s="25"/>
      <c r="H4" s="25"/>
    </row>
    <row r="7" spans="1:8" x14ac:dyDescent="0.25">
      <c r="A7" s="66" t="s">
        <v>296</v>
      </c>
      <c r="B7" s="66" t="s">
        <v>2358</v>
      </c>
    </row>
    <row r="8" spans="1:8" x14ac:dyDescent="0.25">
      <c r="A8" s="25"/>
      <c r="B8" s="66" t="s">
        <v>2361</v>
      </c>
    </row>
    <row r="9" spans="1:8" x14ac:dyDescent="0.25">
      <c r="A9" s="25"/>
      <c r="B9" s="70" t="s">
        <v>2360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workbookViewId="0"/>
  </sheetViews>
  <sheetFormatPr defaultRowHeight="15" x14ac:dyDescent="0.25"/>
  <cols>
    <col min="1" max="1" width="12.42578125" customWidth="1"/>
    <col min="2" max="2" width="46.85546875" customWidth="1"/>
    <col min="3" max="3" width="14" customWidth="1"/>
    <col min="4" max="4" width="32" customWidth="1"/>
    <col min="5" max="5" width="15.7109375" customWidth="1"/>
    <col min="6" max="6" width="49" customWidth="1"/>
    <col min="7" max="7" width="36.140625" customWidth="1"/>
    <col min="8" max="8" width="30.85546875" customWidth="1"/>
  </cols>
  <sheetData>
    <row r="1" spans="1:8" s="1" customFormat="1" ht="60" x14ac:dyDescent="0.25">
      <c r="A1" s="1" t="s">
        <v>0</v>
      </c>
      <c r="B1" s="1" t="s">
        <v>1</v>
      </c>
      <c r="C1" s="1" t="s">
        <v>4</v>
      </c>
      <c r="D1" s="1" t="s">
        <v>2</v>
      </c>
      <c r="E1" s="17" t="s">
        <v>1579</v>
      </c>
      <c r="F1" s="1" t="s">
        <v>7</v>
      </c>
      <c r="G1" s="45" t="s">
        <v>10</v>
      </c>
      <c r="H1" s="1" t="s">
        <v>3</v>
      </c>
    </row>
    <row r="2" spans="1:8" s="8" customFormat="1" x14ac:dyDescent="0.25">
      <c r="A2" s="8" t="s">
        <v>37</v>
      </c>
      <c r="B2" s="23" t="s">
        <v>71</v>
      </c>
      <c r="C2" s="8" t="s">
        <v>61</v>
      </c>
      <c r="D2" s="8" t="s">
        <v>5</v>
      </c>
      <c r="E2" s="12">
        <v>16.55</v>
      </c>
      <c r="F2" s="8" t="s">
        <v>8</v>
      </c>
      <c r="G2" s="8" t="s">
        <v>170</v>
      </c>
      <c r="H2" s="8" t="s">
        <v>142</v>
      </c>
    </row>
    <row r="3" spans="1:8" s="18" customFormat="1" x14ac:dyDescent="0.25">
      <c r="A3" s="18" t="s">
        <v>37</v>
      </c>
      <c r="B3" s="40" t="s">
        <v>1688</v>
      </c>
      <c r="C3" s="25" t="s">
        <v>61</v>
      </c>
      <c r="D3" s="18" t="s">
        <v>84</v>
      </c>
      <c r="E3" s="77">
        <f>31799/5280</f>
        <v>6.0225378787878787</v>
      </c>
      <c r="F3" s="32" t="s">
        <v>140</v>
      </c>
      <c r="G3" s="18" t="s">
        <v>169</v>
      </c>
      <c r="H3" s="11" t="s">
        <v>1633</v>
      </c>
    </row>
    <row r="4" spans="1:8" s="8" customFormat="1" x14ac:dyDescent="0.25">
      <c r="A4" s="18" t="s">
        <v>37</v>
      </c>
      <c r="B4" s="23" t="s">
        <v>72</v>
      </c>
      <c r="C4" s="8" t="s">
        <v>61</v>
      </c>
      <c r="D4" s="8" t="s">
        <v>5</v>
      </c>
      <c r="E4" s="37">
        <f>16455/5280</f>
        <v>3.1164772727272729</v>
      </c>
      <c r="F4" s="18" t="s">
        <v>8</v>
      </c>
      <c r="H4" s="18" t="s">
        <v>142</v>
      </c>
    </row>
    <row r="5" spans="1:8" s="18" customFormat="1" x14ac:dyDescent="0.25">
      <c r="A5" s="18" t="s">
        <v>37</v>
      </c>
      <c r="B5" s="23" t="s">
        <v>127</v>
      </c>
      <c r="C5" s="18" t="s">
        <v>61</v>
      </c>
      <c r="D5" s="18" t="s">
        <v>149</v>
      </c>
      <c r="E5" s="37">
        <f>488/5280</f>
        <v>9.2424242424242423E-2</v>
      </c>
      <c r="F5" s="32" t="s">
        <v>13</v>
      </c>
      <c r="H5" s="11" t="s">
        <v>1633</v>
      </c>
    </row>
    <row r="6" spans="1:8" s="8" customFormat="1" x14ac:dyDescent="0.25">
      <c r="A6" s="18" t="s">
        <v>37</v>
      </c>
      <c r="B6" s="23" t="s">
        <v>150</v>
      </c>
      <c r="C6" s="8" t="s">
        <v>61</v>
      </c>
      <c r="D6" s="18" t="s">
        <v>128</v>
      </c>
      <c r="E6" s="12">
        <v>6.24</v>
      </c>
      <c r="F6" s="18" t="s">
        <v>129</v>
      </c>
      <c r="H6" s="18" t="s">
        <v>142</v>
      </c>
    </row>
    <row r="7" spans="1:8" s="8" customFormat="1" x14ac:dyDescent="0.25">
      <c r="A7" s="18" t="s">
        <v>37</v>
      </c>
      <c r="B7" s="23" t="s">
        <v>1702</v>
      </c>
      <c r="C7" s="8" t="s">
        <v>61</v>
      </c>
      <c r="D7" s="18" t="s">
        <v>5</v>
      </c>
      <c r="E7" s="44">
        <v>7.24</v>
      </c>
      <c r="F7" s="18" t="s">
        <v>8</v>
      </c>
      <c r="G7" s="8" t="s">
        <v>166</v>
      </c>
      <c r="H7" s="18" t="s">
        <v>142</v>
      </c>
    </row>
    <row r="8" spans="1:8" s="18" customFormat="1" x14ac:dyDescent="0.25">
      <c r="A8" s="18" t="s">
        <v>37</v>
      </c>
      <c r="B8" s="23" t="s">
        <v>147</v>
      </c>
      <c r="C8" s="18" t="s">
        <v>61</v>
      </c>
      <c r="D8" s="32" t="s">
        <v>148</v>
      </c>
      <c r="E8" s="42">
        <f>3519/5280</f>
        <v>0.66647727272727275</v>
      </c>
      <c r="F8" s="32" t="s">
        <v>13</v>
      </c>
      <c r="H8" s="11" t="s">
        <v>1633</v>
      </c>
    </row>
    <row r="9" spans="1:8" s="8" customFormat="1" x14ac:dyDescent="0.25">
      <c r="A9" s="18" t="s">
        <v>37</v>
      </c>
      <c r="B9" s="23" t="s">
        <v>73</v>
      </c>
      <c r="C9" s="8" t="s">
        <v>61</v>
      </c>
      <c r="D9" s="18" t="s">
        <v>17</v>
      </c>
      <c r="E9" s="12">
        <v>7.48</v>
      </c>
      <c r="F9" s="8" t="s">
        <v>13</v>
      </c>
      <c r="H9" s="11" t="s">
        <v>1633</v>
      </c>
    </row>
    <row r="10" spans="1:8" s="8" customFormat="1" x14ac:dyDescent="0.25">
      <c r="A10" s="18" t="s">
        <v>37</v>
      </c>
      <c r="B10" s="23" t="s">
        <v>74</v>
      </c>
      <c r="C10" s="8" t="s">
        <v>60</v>
      </c>
      <c r="D10" s="8" t="s">
        <v>17</v>
      </c>
      <c r="E10" s="12">
        <v>8.16</v>
      </c>
      <c r="F10" s="18" t="s">
        <v>13</v>
      </c>
      <c r="H10" s="11" t="s">
        <v>1633</v>
      </c>
    </row>
    <row r="11" spans="1:8" s="8" customFormat="1" x14ac:dyDescent="0.25">
      <c r="A11" s="18" t="s">
        <v>37</v>
      </c>
      <c r="B11" s="23" t="s">
        <v>1701</v>
      </c>
      <c r="C11" s="8" t="s">
        <v>60</v>
      </c>
      <c r="D11" s="8" t="s">
        <v>17</v>
      </c>
      <c r="E11" s="78">
        <v>2.2999999999999998</v>
      </c>
      <c r="F11" s="18" t="s">
        <v>13</v>
      </c>
      <c r="H11" s="11" t="s">
        <v>1633</v>
      </c>
    </row>
    <row r="12" spans="1:8" s="8" customFormat="1" x14ac:dyDescent="0.25">
      <c r="A12" s="18" t="s">
        <v>37</v>
      </c>
      <c r="B12" s="23" t="s">
        <v>75</v>
      </c>
      <c r="C12" s="8" t="s">
        <v>60</v>
      </c>
      <c r="D12" s="8" t="s">
        <v>18</v>
      </c>
      <c r="E12" s="12">
        <v>3.27</v>
      </c>
      <c r="F12" s="18" t="s">
        <v>13</v>
      </c>
      <c r="H12" s="11" t="s">
        <v>1633</v>
      </c>
    </row>
    <row r="13" spans="1:8" s="8" customFormat="1" x14ac:dyDescent="0.25">
      <c r="A13" s="18" t="s">
        <v>37</v>
      </c>
      <c r="B13" s="23" t="s">
        <v>76</v>
      </c>
      <c r="C13" s="8" t="s">
        <v>60</v>
      </c>
      <c r="D13" s="8" t="s">
        <v>17</v>
      </c>
      <c r="E13" s="12">
        <v>2.84</v>
      </c>
      <c r="F13" s="18" t="s">
        <v>13</v>
      </c>
      <c r="H13" s="11" t="s">
        <v>1633</v>
      </c>
    </row>
    <row r="14" spans="1:8" s="8" customFormat="1" x14ac:dyDescent="0.25">
      <c r="A14" s="18" t="s">
        <v>37</v>
      </c>
      <c r="B14" s="23" t="s">
        <v>77</v>
      </c>
      <c r="C14" s="8" t="s">
        <v>60</v>
      </c>
      <c r="D14" s="8" t="s">
        <v>17</v>
      </c>
      <c r="E14" s="12">
        <v>0.44</v>
      </c>
      <c r="F14" s="18" t="s">
        <v>13</v>
      </c>
      <c r="H14" s="11" t="s">
        <v>1633</v>
      </c>
    </row>
    <row r="15" spans="1:8" s="8" customFormat="1" x14ac:dyDescent="0.25">
      <c r="A15" s="18" t="s">
        <v>37</v>
      </c>
      <c r="B15" s="23" t="s">
        <v>78</v>
      </c>
      <c r="C15" s="8" t="s">
        <v>60</v>
      </c>
      <c r="D15" s="8" t="s">
        <v>17</v>
      </c>
      <c r="E15" s="12">
        <v>1.88</v>
      </c>
      <c r="F15" s="18" t="s">
        <v>13</v>
      </c>
      <c r="H15" s="11" t="s">
        <v>1633</v>
      </c>
    </row>
    <row r="16" spans="1:8" s="8" customFormat="1" x14ac:dyDescent="0.25">
      <c r="A16" s="18" t="s">
        <v>37</v>
      </c>
      <c r="B16" s="23" t="s">
        <v>79</v>
      </c>
      <c r="C16" s="8" t="s">
        <v>60</v>
      </c>
      <c r="D16" s="8" t="s">
        <v>17</v>
      </c>
      <c r="E16" s="12">
        <v>7.37</v>
      </c>
      <c r="F16" s="18" t="s">
        <v>13</v>
      </c>
      <c r="H16" s="11" t="s">
        <v>1633</v>
      </c>
    </row>
    <row r="17" spans="1:8" s="8" customFormat="1" x14ac:dyDescent="0.25">
      <c r="A17" s="18" t="s">
        <v>37</v>
      </c>
      <c r="B17" s="23" t="s">
        <v>80</v>
      </c>
      <c r="C17" s="8" t="s">
        <v>60</v>
      </c>
      <c r="D17" s="8" t="s">
        <v>5</v>
      </c>
      <c r="E17" s="12">
        <v>3.89</v>
      </c>
      <c r="F17" s="18" t="s">
        <v>8</v>
      </c>
      <c r="H17" s="11" t="s">
        <v>1633</v>
      </c>
    </row>
    <row r="18" spans="1:8" s="32" customFormat="1" x14ac:dyDescent="0.25">
      <c r="A18" s="32" t="s">
        <v>37</v>
      </c>
      <c r="B18" s="4" t="s">
        <v>1703</v>
      </c>
      <c r="C18" s="32" t="s">
        <v>83</v>
      </c>
      <c r="D18" s="32" t="s">
        <v>85</v>
      </c>
      <c r="E18" s="33">
        <v>1.53</v>
      </c>
      <c r="F18" s="32" t="s">
        <v>16</v>
      </c>
      <c r="G18" s="32" t="s">
        <v>174</v>
      </c>
      <c r="H18" s="11" t="s">
        <v>1633</v>
      </c>
    </row>
    <row r="19" spans="1:8" s="32" customFormat="1" x14ac:dyDescent="0.25">
      <c r="A19" s="32" t="s">
        <v>37</v>
      </c>
      <c r="B19" s="4" t="s">
        <v>1689</v>
      </c>
      <c r="C19" s="32" t="s">
        <v>83</v>
      </c>
      <c r="D19" s="32" t="s">
        <v>87</v>
      </c>
      <c r="E19" s="42">
        <f>195/5280</f>
        <v>3.6931818181818184E-2</v>
      </c>
      <c r="F19" s="32" t="s">
        <v>154</v>
      </c>
      <c r="G19" s="32" t="s">
        <v>1690</v>
      </c>
      <c r="H19" s="11" t="s">
        <v>1698</v>
      </c>
    </row>
    <row r="20" spans="1:8" s="32" customFormat="1" x14ac:dyDescent="0.25">
      <c r="A20" s="32" t="s">
        <v>37</v>
      </c>
      <c r="B20" s="4" t="s">
        <v>1691</v>
      </c>
      <c r="C20" s="32" t="s">
        <v>83</v>
      </c>
      <c r="D20" s="32" t="s">
        <v>87</v>
      </c>
      <c r="E20" s="42">
        <f>285/5280</f>
        <v>5.3977272727272728E-2</v>
      </c>
      <c r="F20" s="32" t="s">
        <v>154</v>
      </c>
      <c r="G20" s="32" t="s">
        <v>1690</v>
      </c>
      <c r="H20" s="11" t="s">
        <v>1698</v>
      </c>
    </row>
    <row r="21" spans="1:8" s="32" customFormat="1" x14ac:dyDescent="0.25">
      <c r="A21" s="32" t="s">
        <v>37</v>
      </c>
      <c r="B21" s="4" t="s">
        <v>1692</v>
      </c>
      <c r="C21" s="32" t="s">
        <v>83</v>
      </c>
      <c r="D21" s="32" t="s">
        <v>87</v>
      </c>
      <c r="E21" s="42">
        <f>331/5280</f>
        <v>6.2689393939393934E-2</v>
      </c>
      <c r="F21" s="32" t="s">
        <v>154</v>
      </c>
      <c r="G21" s="32" t="s">
        <v>1696</v>
      </c>
      <c r="H21" s="11" t="s">
        <v>1698</v>
      </c>
    </row>
    <row r="22" spans="1:8" s="32" customFormat="1" x14ac:dyDescent="0.25">
      <c r="A22" s="32" t="s">
        <v>37</v>
      </c>
      <c r="B22" s="4" t="s">
        <v>1693</v>
      </c>
      <c r="C22" s="32" t="s">
        <v>83</v>
      </c>
      <c r="D22" s="32" t="s">
        <v>87</v>
      </c>
      <c r="E22" s="42">
        <f>447/5280</f>
        <v>8.4659090909090906E-2</v>
      </c>
      <c r="F22" s="32" t="s">
        <v>154</v>
      </c>
      <c r="G22" s="32" t="s">
        <v>1697</v>
      </c>
      <c r="H22" s="11" t="s">
        <v>1698</v>
      </c>
    </row>
    <row r="23" spans="1:8" s="32" customFormat="1" x14ac:dyDescent="0.25">
      <c r="A23" s="32" t="s">
        <v>37</v>
      </c>
      <c r="B23" s="4" t="s">
        <v>1694</v>
      </c>
      <c r="C23" s="32" t="s">
        <v>83</v>
      </c>
      <c r="D23" s="32" t="s">
        <v>87</v>
      </c>
      <c r="E23" s="42">
        <f>455/5280</f>
        <v>8.6174242424242431E-2</v>
      </c>
      <c r="F23" s="32" t="s">
        <v>1695</v>
      </c>
      <c r="H23" s="11" t="s">
        <v>1699</v>
      </c>
    </row>
    <row r="24" spans="1:8" s="32" customFormat="1" x14ac:dyDescent="0.25">
      <c r="A24" s="32" t="s">
        <v>37</v>
      </c>
      <c r="B24" s="4" t="s">
        <v>1700</v>
      </c>
      <c r="C24" s="32" t="s">
        <v>83</v>
      </c>
      <c r="D24" s="32" t="s">
        <v>85</v>
      </c>
      <c r="E24" s="42">
        <v>4</v>
      </c>
      <c r="F24" s="32" t="s">
        <v>16</v>
      </c>
      <c r="G24" s="32" t="s">
        <v>167</v>
      </c>
      <c r="H24" s="11" t="s">
        <v>1633</v>
      </c>
    </row>
    <row r="25" spans="1:8" s="8" customFormat="1" x14ac:dyDescent="0.25">
      <c r="A25" s="18" t="s">
        <v>37</v>
      </c>
      <c r="B25" s="23" t="s">
        <v>86</v>
      </c>
      <c r="C25" s="8" t="s">
        <v>83</v>
      </c>
      <c r="D25" s="8" t="s">
        <v>87</v>
      </c>
      <c r="E25" s="37">
        <f>2848/5280</f>
        <v>0.53939393939393943</v>
      </c>
      <c r="F25" s="8" t="s">
        <v>9</v>
      </c>
      <c r="G25" s="8" t="s">
        <v>168</v>
      </c>
      <c r="H25" s="8" t="s">
        <v>1645</v>
      </c>
    </row>
    <row r="26" spans="1:8" s="18" customFormat="1" x14ac:dyDescent="0.25">
      <c r="A26" s="18" t="s">
        <v>37</v>
      </c>
      <c r="B26" s="11" t="s">
        <v>81</v>
      </c>
      <c r="C26" s="18" t="s">
        <v>83</v>
      </c>
      <c r="D26" s="18" t="s">
        <v>5</v>
      </c>
      <c r="E26" s="42">
        <v>4.3</v>
      </c>
      <c r="F26" s="18" t="s">
        <v>8</v>
      </c>
      <c r="G26" s="18" t="s">
        <v>132</v>
      </c>
      <c r="H26" s="18" t="s">
        <v>14</v>
      </c>
    </row>
    <row r="27" spans="1:8" s="8" customFormat="1" x14ac:dyDescent="0.25">
      <c r="A27" s="18" t="s">
        <v>37</v>
      </c>
      <c r="B27" s="23" t="s">
        <v>82</v>
      </c>
      <c r="C27" s="8" t="s">
        <v>83</v>
      </c>
      <c r="D27" s="8" t="s">
        <v>18</v>
      </c>
      <c r="E27" s="36">
        <v>5.66</v>
      </c>
      <c r="F27" s="8" t="s">
        <v>28</v>
      </c>
      <c r="G27" s="8" t="s">
        <v>132</v>
      </c>
      <c r="H27" s="8" t="s">
        <v>1646</v>
      </c>
    </row>
    <row r="28" spans="1:8" s="18" customFormat="1" x14ac:dyDescent="0.25">
      <c r="B28" s="24"/>
      <c r="E28" s="35"/>
    </row>
    <row r="29" spans="1:8" s="18" customFormat="1" x14ac:dyDescent="0.25">
      <c r="B29" s="24"/>
      <c r="D29" s="7" t="s">
        <v>11</v>
      </c>
      <c r="E29" s="38">
        <f>SUM(E2:E27)</f>
        <v>93.911742424242405</v>
      </c>
      <c r="F29" s="39">
        <f>E29/105.12</f>
        <v>0.89337654513168185</v>
      </c>
    </row>
    <row r="32" spans="1:8" x14ac:dyDescent="0.25">
      <c r="A32" s="66" t="s">
        <v>296</v>
      </c>
      <c r="B32" s="66" t="s">
        <v>2358</v>
      </c>
    </row>
    <row r="33" spans="1:2" x14ac:dyDescent="0.25">
      <c r="A33" s="25"/>
      <c r="B33" s="66" t="s">
        <v>2361</v>
      </c>
    </row>
    <row r="34" spans="1:2" x14ac:dyDescent="0.25">
      <c r="A34" s="25"/>
      <c r="B34" s="70" t="s">
        <v>2360</v>
      </c>
    </row>
  </sheetData>
  <pageMargins left="0.7" right="0.7" top="0.75" bottom="0.75" header="0.3" footer="0.3"/>
  <pageSetup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5"/>
  <sheetViews>
    <sheetView workbookViewId="0"/>
  </sheetViews>
  <sheetFormatPr defaultRowHeight="15" x14ac:dyDescent="0.25"/>
  <cols>
    <col min="1" max="1" width="12.42578125" customWidth="1"/>
    <col min="2" max="2" width="46.85546875" customWidth="1"/>
    <col min="3" max="3" width="14" customWidth="1"/>
    <col min="4" max="4" width="32" customWidth="1"/>
    <col min="5" max="5" width="15.7109375" customWidth="1"/>
    <col min="6" max="6" width="49" customWidth="1"/>
    <col min="7" max="7" width="36.140625" customWidth="1"/>
    <col min="8" max="8" width="30.85546875" customWidth="1"/>
  </cols>
  <sheetData>
    <row r="1" spans="1:8" s="1" customFormat="1" ht="60" x14ac:dyDescent="0.25">
      <c r="A1" s="1" t="s">
        <v>0</v>
      </c>
      <c r="B1" s="1" t="s">
        <v>1</v>
      </c>
      <c r="C1" s="1" t="s">
        <v>4</v>
      </c>
      <c r="D1" s="1" t="s">
        <v>2</v>
      </c>
      <c r="E1" s="17" t="s">
        <v>1579</v>
      </c>
      <c r="F1" s="1" t="s">
        <v>7</v>
      </c>
      <c r="G1" s="45" t="s">
        <v>10</v>
      </c>
      <c r="H1" s="1" t="s">
        <v>3</v>
      </c>
    </row>
    <row r="2" spans="1:8" s="18" customFormat="1" x14ac:dyDescent="0.25">
      <c r="A2" s="18" t="s">
        <v>1580</v>
      </c>
      <c r="B2" s="18" t="s">
        <v>1581</v>
      </c>
      <c r="C2" s="18" t="s">
        <v>1582</v>
      </c>
      <c r="D2" s="18" t="s">
        <v>5</v>
      </c>
      <c r="E2" s="71">
        <f>9500/5280</f>
        <v>1.7992424242424243</v>
      </c>
      <c r="F2" s="18" t="s">
        <v>8</v>
      </c>
      <c r="G2" s="18" t="s">
        <v>1583</v>
      </c>
      <c r="H2" s="18" t="s">
        <v>1855</v>
      </c>
    </row>
    <row r="3" spans="1:8" s="25" customFormat="1" x14ac:dyDescent="0.25">
      <c r="A3" s="40" t="s">
        <v>1580</v>
      </c>
      <c r="B3" s="25" t="s">
        <v>1584</v>
      </c>
      <c r="C3" s="25" t="s">
        <v>1582</v>
      </c>
      <c r="D3" s="25" t="s">
        <v>5</v>
      </c>
      <c r="E3" s="71">
        <f>5301/5280</f>
        <v>1.0039772727272727</v>
      </c>
      <c r="F3" s="25" t="s">
        <v>8</v>
      </c>
      <c r="G3" s="25" t="s">
        <v>1583</v>
      </c>
      <c r="H3" s="25" t="s">
        <v>1855</v>
      </c>
    </row>
    <row r="4" spans="1:8" s="25" customFormat="1" x14ac:dyDescent="0.25">
      <c r="A4" s="25" t="s">
        <v>1580</v>
      </c>
      <c r="B4" s="40" t="s">
        <v>1859</v>
      </c>
      <c r="C4" s="25" t="s">
        <v>1582</v>
      </c>
      <c r="D4" s="25" t="s">
        <v>1594</v>
      </c>
      <c r="E4" s="71">
        <f>3433/5280</f>
        <v>0.6501893939393939</v>
      </c>
      <c r="F4" s="40" t="s">
        <v>13</v>
      </c>
      <c r="G4" s="25" t="s">
        <v>1583</v>
      </c>
      <c r="H4" s="25" t="s">
        <v>1856</v>
      </c>
    </row>
    <row r="5" spans="1:8" s="25" customFormat="1" x14ac:dyDescent="0.25">
      <c r="A5" s="25" t="s">
        <v>1580</v>
      </c>
      <c r="B5" s="40" t="s">
        <v>1857</v>
      </c>
      <c r="C5" s="25" t="s">
        <v>1582</v>
      </c>
      <c r="D5" s="25" t="s">
        <v>1594</v>
      </c>
      <c r="E5" s="71">
        <f>400/5280</f>
        <v>7.575757575757576E-2</v>
      </c>
      <c r="F5" s="40" t="s">
        <v>1872</v>
      </c>
      <c r="G5" s="25" t="s">
        <v>1858</v>
      </c>
      <c r="H5" s="25" t="s">
        <v>1856</v>
      </c>
    </row>
    <row r="6" spans="1:8" s="40" customFormat="1" x14ac:dyDescent="0.25">
      <c r="A6" s="25" t="s">
        <v>1580</v>
      </c>
      <c r="B6" s="40" t="s">
        <v>1862</v>
      </c>
      <c r="C6" s="25" t="s">
        <v>1588</v>
      </c>
      <c r="D6" s="40" t="s">
        <v>1863</v>
      </c>
      <c r="E6" s="81">
        <f>3405/5280</f>
        <v>0.64488636363636365</v>
      </c>
      <c r="F6" s="40" t="s">
        <v>1864</v>
      </c>
      <c r="G6" s="40" t="s">
        <v>2362</v>
      </c>
      <c r="H6" s="40" t="s">
        <v>1860</v>
      </c>
    </row>
    <row r="7" spans="1:8" s="40" customFormat="1" x14ac:dyDescent="0.25">
      <c r="A7" s="25" t="s">
        <v>1580</v>
      </c>
      <c r="B7" s="40" t="s">
        <v>1865</v>
      </c>
      <c r="C7" s="25" t="s">
        <v>1588</v>
      </c>
      <c r="D7" s="40" t="s">
        <v>1866</v>
      </c>
      <c r="E7" s="81">
        <f>500/5280</f>
        <v>9.4696969696969696E-2</v>
      </c>
      <c r="F7" s="40" t="s">
        <v>871</v>
      </c>
      <c r="G7" s="40" t="s">
        <v>2363</v>
      </c>
      <c r="H7" s="40" t="s">
        <v>1860</v>
      </c>
    </row>
    <row r="8" spans="1:8" s="40" customFormat="1" x14ac:dyDescent="0.25">
      <c r="A8" s="25" t="s">
        <v>1580</v>
      </c>
      <c r="B8" s="40" t="s">
        <v>1867</v>
      </c>
      <c r="C8" s="25" t="s">
        <v>1588</v>
      </c>
      <c r="D8" s="40" t="s">
        <v>1866</v>
      </c>
      <c r="E8" s="81">
        <f>1272/5280</f>
        <v>0.24090909090909091</v>
      </c>
      <c r="F8" s="40" t="s">
        <v>871</v>
      </c>
      <c r="G8" s="40" t="s">
        <v>2363</v>
      </c>
      <c r="H8" s="40" t="s">
        <v>1860</v>
      </c>
    </row>
    <row r="9" spans="1:8" s="40" customFormat="1" x14ac:dyDescent="0.25">
      <c r="A9" s="25" t="s">
        <v>1580</v>
      </c>
      <c r="B9" s="40" t="s">
        <v>1868</v>
      </c>
      <c r="C9" s="25" t="s">
        <v>1588</v>
      </c>
      <c r="D9" s="40" t="s">
        <v>1871</v>
      </c>
      <c r="E9" s="81">
        <f>499/5280</f>
        <v>9.4507575757575762E-2</v>
      </c>
      <c r="F9" s="40" t="s">
        <v>871</v>
      </c>
      <c r="G9" s="40" t="s">
        <v>2364</v>
      </c>
      <c r="H9" s="40" t="s">
        <v>1860</v>
      </c>
    </row>
    <row r="10" spans="1:8" s="40" customFormat="1" x14ac:dyDescent="0.25">
      <c r="A10" s="25" t="s">
        <v>1580</v>
      </c>
      <c r="B10" s="40" t="s">
        <v>1869</v>
      </c>
      <c r="C10" s="25" t="s">
        <v>1588</v>
      </c>
      <c r="D10" s="40" t="s">
        <v>1870</v>
      </c>
      <c r="E10" s="81">
        <f>73/5280</f>
        <v>1.3825757575757576E-2</v>
      </c>
      <c r="F10" s="40" t="s">
        <v>1872</v>
      </c>
      <c r="G10" s="40" t="s">
        <v>2365</v>
      </c>
      <c r="H10" s="40" t="s">
        <v>1860</v>
      </c>
    </row>
    <row r="11" spans="1:8" s="40" customFormat="1" x14ac:dyDescent="0.25">
      <c r="A11" s="25" t="s">
        <v>1580</v>
      </c>
      <c r="B11" s="40" t="s">
        <v>1874</v>
      </c>
      <c r="C11" s="25" t="s">
        <v>1588</v>
      </c>
      <c r="D11" s="40" t="s">
        <v>1870</v>
      </c>
      <c r="E11" s="81">
        <f>53/5280</f>
        <v>1.0037878787878788E-2</v>
      </c>
      <c r="F11" s="40" t="s">
        <v>1872</v>
      </c>
      <c r="G11" s="40" t="s">
        <v>1873</v>
      </c>
      <c r="H11" s="40" t="s">
        <v>1860</v>
      </c>
    </row>
    <row r="12" spans="1:8" s="40" customFormat="1" x14ac:dyDescent="0.25">
      <c r="A12" s="25" t="s">
        <v>1580</v>
      </c>
      <c r="B12" s="40" t="s">
        <v>1876</v>
      </c>
      <c r="C12" s="25" t="s">
        <v>1588</v>
      </c>
      <c r="D12" s="40" t="s">
        <v>1870</v>
      </c>
      <c r="E12" s="81">
        <f>65/5280</f>
        <v>1.231060606060606E-2</v>
      </c>
      <c r="F12" s="40" t="s">
        <v>1872</v>
      </c>
      <c r="G12" s="40" t="s">
        <v>1873</v>
      </c>
      <c r="H12" s="40" t="s">
        <v>1860</v>
      </c>
    </row>
    <row r="13" spans="1:8" s="40" customFormat="1" x14ac:dyDescent="0.25">
      <c r="A13" s="25" t="s">
        <v>1580</v>
      </c>
      <c r="B13" s="40" t="s">
        <v>1875</v>
      </c>
      <c r="C13" s="25" t="s">
        <v>1588</v>
      </c>
      <c r="D13" s="40" t="s">
        <v>1870</v>
      </c>
      <c r="E13" s="81">
        <f>64/5280</f>
        <v>1.2121212121212121E-2</v>
      </c>
      <c r="F13" s="40" t="s">
        <v>1872</v>
      </c>
      <c r="G13" s="40" t="s">
        <v>1873</v>
      </c>
      <c r="H13" s="40" t="s">
        <v>1860</v>
      </c>
    </row>
    <row r="14" spans="1:8" s="40" customFormat="1" x14ac:dyDescent="0.25">
      <c r="A14" s="25" t="s">
        <v>1580</v>
      </c>
      <c r="B14" s="40" t="s">
        <v>1877</v>
      </c>
      <c r="C14" s="25" t="s">
        <v>1588</v>
      </c>
      <c r="D14" s="40" t="s">
        <v>1870</v>
      </c>
      <c r="E14" s="81">
        <f>53/5280</f>
        <v>1.0037878787878788E-2</v>
      </c>
      <c r="F14" s="40" t="s">
        <v>1872</v>
      </c>
      <c r="G14" s="40" t="s">
        <v>1873</v>
      </c>
      <c r="H14" s="40" t="s">
        <v>1860</v>
      </c>
    </row>
    <row r="15" spans="1:8" s="40" customFormat="1" x14ac:dyDescent="0.25">
      <c r="A15" s="25" t="s">
        <v>1580</v>
      </c>
      <c r="B15" s="40" t="s">
        <v>1878</v>
      </c>
      <c r="C15" s="25" t="s">
        <v>1588</v>
      </c>
      <c r="D15" s="40" t="s">
        <v>1870</v>
      </c>
      <c r="E15" s="81">
        <f>59/5280</f>
        <v>1.1174242424242425E-2</v>
      </c>
      <c r="F15" s="40" t="s">
        <v>1872</v>
      </c>
      <c r="G15" s="40" t="s">
        <v>1873</v>
      </c>
      <c r="H15" s="40" t="s">
        <v>1860</v>
      </c>
    </row>
    <row r="16" spans="1:8" s="40" customFormat="1" x14ac:dyDescent="0.25">
      <c r="A16" s="25" t="s">
        <v>1580</v>
      </c>
      <c r="B16" s="40" t="s">
        <v>1879</v>
      </c>
      <c r="C16" s="25" t="s">
        <v>1588</v>
      </c>
      <c r="D16" s="40" t="s">
        <v>1870</v>
      </c>
      <c r="E16" s="81">
        <f>51/5280</f>
        <v>9.6590909090909088E-3</v>
      </c>
      <c r="F16" s="40" t="s">
        <v>1872</v>
      </c>
      <c r="G16" s="40" t="s">
        <v>1873</v>
      </c>
      <c r="H16" s="40" t="s">
        <v>1860</v>
      </c>
    </row>
    <row r="17" spans="1:8" s="40" customFormat="1" x14ac:dyDescent="0.25">
      <c r="A17" s="25" t="s">
        <v>1580</v>
      </c>
      <c r="B17" s="40" t="s">
        <v>1880</v>
      </c>
      <c r="C17" s="25" t="s">
        <v>1588</v>
      </c>
      <c r="D17" s="40" t="s">
        <v>1870</v>
      </c>
      <c r="E17" s="81">
        <f>60/5280</f>
        <v>1.1363636363636364E-2</v>
      </c>
      <c r="F17" s="40" t="s">
        <v>1872</v>
      </c>
      <c r="G17" s="40" t="s">
        <v>1873</v>
      </c>
      <c r="H17" s="40" t="s">
        <v>1860</v>
      </c>
    </row>
    <row r="18" spans="1:8" s="40" customFormat="1" x14ac:dyDescent="0.25">
      <c r="A18" s="25" t="s">
        <v>1580</v>
      </c>
      <c r="B18" s="40" t="s">
        <v>1881</v>
      </c>
      <c r="C18" s="25" t="s">
        <v>1588</v>
      </c>
      <c r="D18" s="40" t="s">
        <v>1870</v>
      </c>
      <c r="E18" s="81">
        <f>66/5280</f>
        <v>1.2500000000000001E-2</v>
      </c>
      <c r="F18" s="40" t="s">
        <v>1872</v>
      </c>
      <c r="G18" s="40" t="s">
        <v>1873</v>
      </c>
      <c r="H18" s="40" t="s">
        <v>1860</v>
      </c>
    </row>
    <row r="19" spans="1:8" s="40" customFormat="1" x14ac:dyDescent="0.25">
      <c r="A19" s="25" t="s">
        <v>1580</v>
      </c>
      <c r="B19" s="40" t="s">
        <v>1882</v>
      </c>
      <c r="C19" s="25" t="s">
        <v>1588</v>
      </c>
      <c r="D19" s="40" t="s">
        <v>1870</v>
      </c>
      <c r="E19" s="81">
        <f>95/5280</f>
        <v>1.7992424242424244E-2</v>
      </c>
      <c r="F19" s="40" t="s">
        <v>1872</v>
      </c>
      <c r="G19" s="40" t="s">
        <v>1873</v>
      </c>
      <c r="H19" s="40" t="s">
        <v>1860</v>
      </c>
    </row>
    <row r="20" spans="1:8" s="40" customFormat="1" x14ac:dyDescent="0.25">
      <c r="A20" s="25" t="s">
        <v>1580</v>
      </c>
      <c r="B20" s="40" t="s">
        <v>1883</v>
      </c>
      <c r="C20" s="25" t="s">
        <v>1588</v>
      </c>
      <c r="D20" s="40" t="s">
        <v>1870</v>
      </c>
      <c r="E20" s="81">
        <f>87/5280</f>
        <v>1.6477272727272726E-2</v>
      </c>
      <c r="F20" s="40" t="s">
        <v>1872</v>
      </c>
      <c r="G20" s="40" t="s">
        <v>1873</v>
      </c>
      <c r="H20" s="40" t="s">
        <v>1860</v>
      </c>
    </row>
    <row r="21" spans="1:8" s="40" customFormat="1" x14ac:dyDescent="0.25">
      <c r="A21" s="25" t="s">
        <v>1580</v>
      </c>
      <c r="B21" s="40" t="s">
        <v>1884</v>
      </c>
      <c r="C21" s="25" t="s">
        <v>1588</v>
      </c>
      <c r="D21" s="40" t="s">
        <v>1870</v>
      </c>
      <c r="E21" s="81">
        <f>67/5280</f>
        <v>1.268939393939394E-2</v>
      </c>
      <c r="F21" s="40" t="s">
        <v>1872</v>
      </c>
      <c r="G21" s="40" t="s">
        <v>1873</v>
      </c>
      <c r="H21" s="40" t="s">
        <v>1860</v>
      </c>
    </row>
    <row r="22" spans="1:8" s="40" customFormat="1" x14ac:dyDescent="0.25">
      <c r="A22" s="25" t="s">
        <v>1580</v>
      </c>
      <c r="B22" s="40" t="s">
        <v>1885</v>
      </c>
      <c r="C22" s="25" t="s">
        <v>1588</v>
      </c>
      <c r="D22" s="40" t="s">
        <v>1870</v>
      </c>
      <c r="E22" s="81">
        <f>53/5280</f>
        <v>1.0037878787878788E-2</v>
      </c>
      <c r="F22" s="40" t="s">
        <v>1872</v>
      </c>
      <c r="G22" s="40" t="s">
        <v>1873</v>
      </c>
      <c r="H22" s="40" t="s">
        <v>1860</v>
      </c>
    </row>
    <row r="23" spans="1:8" s="40" customFormat="1" x14ac:dyDescent="0.25">
      <c r="A23" s="25" t="s">
        <v>1580</v>
      </c>
      <c r="B23" s="40" t="s">
        <v>1886</v>
      </c>
      <c r="C23" s="25" t="s">
        <v>1588</v>
      </c>
      <c r="D23" s="40" t="s">
        <v>1887</v>
      </c>
      <c r="E23" s="81">
        <f>55/5280</f>
        <v>1.0416666666666666E-2</v>
      </c>
      <c r="F23" s="40" t="s">
        <v>1872</v>
      </c>
      <c r="G23" s="40" t="s">
        <v>1873</v>
      </c>
      <c r="H23" s="40" t="s">
        <v>1860</v>
      </c>
    </row>
    <row r="24" spans="1:8" s="40" customFormat="1" x14ac:dyDescent="0.25">
      <c r="A24" s="25" t="s">
        <v>1580</v>
      </c>
      <c r="B24" s="40" t="s">
        <v>1889</v>
      </c>
      <c r="C24" s="25" t="s">
        <v>1588</v>
      </c>
      <c r="D24" s="40" t="s">
        <v>1888</v>
      </c>
      <c r="E24" s="81">
        <f>47/5280</f>
        <v>8.9015151515151516E-3</v>
      </c>
      <c r="F24" s="40" t="s">
        <v>1872</v>
      </c>
      <c r="G24" s="40" t="s">
        <v>1873</v>
      </c>
      <c r="H24" s="40" t="s">
        <v>1860</v>
      </c>
    </row>
    <row r="25" spans="1:8" s="40" customFormat="1" x14ac:dyDescent="0.25">
      <c r="A25" s="25" t="s">
        <v>1580</v>
      </c>
      <c r="B25" s="40" t="s">
        <v>1890</v>
      </c>
      <c r="C25" s="25" t="s">
        <v>1588</v>
      </c>
      <c r="D25" s="40" t="s">
        <v>1888</v>
      </c>
      <c r="E25" s="81">
        <f>50/5280</f>
        <v>9.46969696969697E-3</v>
      </c>
      <c r="F25" s="40" t="s">
        <v>1872</v>
      </c>
      <c r="G25" s="40" t="s">
        <v>1873</v>
      </c>
      <c r="H25" s="40" t="s">
        <v>1860</v>
      </c>
    </row>
    <row r="26" spans="1:8" s="40" customFormat="1" x14ac:dyDescent="0.25">
      <c r="A26" s="25" t="s">
        <v>1580</v>
      </c>
      <c r="B26" s="40" t="s">
        <v>1891</v>
      </c>
      <c r="C26" s="25" t="s">
        <v>1588</v>
      </c>
      <c r="D26" s="40" t="s">
        <v>1888</v>
      </c>
      <c r="E26" s="81">
        <f>54/5280</f>
        <v>1.0227272727272727E-2</v>
      </c>
      <c r="F26" s="40" t="s">
        <v>1872</v>
      </c>
      <c r="G26" s="40" t="s">
        <v>1873</v>
      </c>
      <c r="H26" s="40" t="s">
        <v>1860</v>
      </c>
    </row>
    <row r="27" spans="1:8" s="40" customFormat="1" x14ac:dyDescent="0.25">
      <c r="A27" s="25" t="s">
        <v>1580</v>
      </c>
      <c r="B27" s="40" t="s">
        <v>1892</v>
      </c>
      <c r="C27" s="25" t="s">
        <v>1588</v>
      </c>
      <c r="D27" s="40" t="s">
        <v>1888</v>
      </c>
      <c r="E27" s="81">
        <f>51/5280</f>
        <v>9.6590909090909088E-3</v>
      </c>
      <c r="F27" s="40" t="s">
        <v>1872</v>
      </c>
      <c r="G27" s="40" t="s">
        <v>1873</v>
      </c>
      <c r="H27" s="40" t="s">
        <v>1860</v>
      </c>
    </row>
    <row r="28" spans="1:8" s="40" customFormat="1" x14ac:dyDescent="0.25">
      <c r="A28" s="25" t="s">
        <v>1580</v>
      </c>
      <c r="B28" s="40" t="s">
        <v>1893</v>
      </c>
      <c r="C28" s="25" t="s">
        <v>1588</v>
      </c>
      <c r="D28" s="40" t="s">
        <v>1888</v>
      </c>
      <c r="E28" s="81">
        <f>57/5280</f>
        <v>1.0795454545454546E-2</v>
      </c>
      <c r="F28" s="40" t="s">
        <v>1872</v>
      </c>
      <c r="G28" s="40" t="s">
        <v>1873</v>
      </c>
      <c r="H28" s="40" t="s">
        <v>1860</v>
      </c>
    </row>
    <row r="29" spans="1:8" s="40" customFormat="1" x14ac:dyDescent="0.25">
      <c r="A29" s="25" t="s">
        <v>1580</v>
      </c>
      <c r="B29" s="40" t="s">
        <v>1894</v>
      </c>
      <c r="C29" s="25" t="s">
        <v>1588</v>
      </c>
      <c r="D29" s="40" t="s">
        <v>1888</v>
      </c>
      <c r="E29" s="81">
        <f>58/5280</f>
        <v>1.0984848484848484E-2</v>
      </c>
      <c r="F29" s="40" t="s">
        <v>1872</v>
      </c>
      <c r="G29" s="40" t="s">
        <v>1873</v>
      </c>
      <c r="H29" s="40" t="s">
        <v>1860</v>
      </c>
    </row>
    <row r="30" spans="1:8" s="40" customFormat="1" x14ac:dyDescent="0.25">
      <c r="A30" s="25" t="s">
        <v>1580</v>
      </c>
      <c r="B30" s="40" t="s">
        <v>1895</v>
      </c>
      <c r="C30" s="25" t="s">
        <v>1588</v>
      </c>
      <c r="D30" s="40" t="s">
        <v>1888</v>
      </c>
      <c r="E30" s="81">
        <f>323/5280</f>
        <v>6.1174242424242423E-2</v>
      </c>
      <c r="F30" s="40" t="s">
        <v>1872</v>
      </c>
      <c r="G30" s="40" t="s">
        <v>1873</v>
      </c>
      <c r="H30" s="40" t="s">
        <v>1860</v>
      </c>
    </row>
    <row r="31" spans="1:8" s="40" customFormat="1" x14ac:dyDescent="0.25">
      <c r="A31" s="25" t="s">
        <v>1580</v>
      </c>
      <c r="B31" s="40" t="s">
        <v>1896</v>
      </c>
      <c r="C31" s="25" t="s">
        <v>1588</v>
      </c>
      <c r="D31" s="40" t="s">
        <v>1888</v>
      </c>
      <c r="E31" s="81">
        <f>49/5280</f>
        <v>9.2803030303030311E-3</v>
      </c>
      <c r="F31" s="40" t="s">
        <v>1872</v>
      </c>
      <c r="G31" s="40" t="s">
        <v>2366</v>
      </c>
      <c r="H31" s="40" t="s">
        <v>1860</v>
      </c>
    </row>
    <row r="32" spans="1:8" s="40" customFormat="1" x14ac:dyDescent="0.25">
      <c r="A32" s="25" t="s">
        <v>1580</v>
      </c>
      <c r="B32" s="40" t="s">
        <v>1897</v>
      </c>
      <c r="C32" s="25" t="s">
        <v>1588</v>
      </c>
      <c r="D32" s="40" t="s">
        <v>1888</v>
      </c>
      <c r="E32" s="81">
        <f>60/5280</f>
        <v>1.1363636363636364E-2</v>
      </c>
      <c r="F32" s="40" t="s">
        <v>1872</v>
      </c>
      <c r="G32" s="40" t="s">
        <v>2366</v>
      </c>
      <c r="H32" s="40" t="s">
        <v>1860</v>
      </c>
    </row>
    <row r="33" spans="1:8" s="40" customFormat="1" x14ac:dyDescent="0.25">
      <c r="A33" s="25" t="s">
        <v>1580</v>
      </c>
      <c r="B33" s="40" t="s">
        <v>1898</v>
      </c>
      <c r="C33" s="25" t="s">
        <v>1588</v>
      </c>
      <c r="D33" s="40" t="s">
        <v>1888</v>
      </c>
      <c r="E33" s="81">
        <f>58/5280</f>
        <v>1.0984848484848484E-2</v>
      </c>
      <c r="F33" s="40" t="s">
        <v>1872</v>
      </c>
      <c r="G33" s="40" t="s">
        <v>2366</v>
      </c>
      <c r="H33" s="40" t="s">
        <v>1860</v>
      </c>
    </row>
    <row r="34" spans="1:8" s="40" customFormat="1" x14ac:dyDescent="0.25">
      <c r="A34" s="25" t="s">
        <v>1580</v>
      </c>
      <c r="B34" s="40" t="s">
        <v>1899</v>
      </c>
      <c r="C34" s="25" t="s">
        <v>1588</v>
      </c>
      <c r="D34" s="40" t="s">
        <v>1888</v>
      </c>
      <c r="E34" s="81">
        <f>62/5280</f>
        <v>1.1742424242424242E-2</v>
      </c>
      <c r="F34" s="40" t="s">
        <v>1872</v>
      </c>
      <c r="G34" s="40" t="s">
        <v>2366</v>
      </c>
      <c r="H34" s="40" t="s">
        <v>1860</v>
      </c>
    </row>
    <row r="35" spans="1:8" s="40" customFormat="1" x14ac:dyDescent="0.25">
      <c r="A35" s="25" t="s">
        <v>1580</v>
      </c>
      <c r="B35" s="40" t="s">
        <v>1900</v>
      </c>
      <c r="C35" s="25" t="s">
        <v>1588</v>
      </c>
      <c r="D35" s="40" t="s">
        <v>1888</v>
      </c>
      <c r="E35" s="81">
        <f>53/5280</f>
        <v>1.0037878787878788E-2</v>
      </c>
      <c r="F35" s="40" t="s">
        <v>1872</v>
      </c>
      <c r="G35" s="40" t="s">
        <v>2366</v>
      </c>
      <c r="H35" s="40" t="s">
        <v>1860</v>
      </c>
    </row>
    <row r="36" spans="1:8" s="40" customFormat="1" x14ac:dyDescent="0.25">
      <c r="A36" s="25" t="s">
        <v>1580</v>
      </c>
      <c r="B36" s="40" t="s">
        <v>1901</v>
      </c>
      <c r="C36" s="25" t="s">
        <v>1588</v>
      </c>
      <c r="D36" s="40" t="s">
        <v>1888</v>
      </c>
      <c r="E36" s="81">
        <f>52/5280</f>
        <v>9.8484848484848477E-3</v>
      </c>
      <c r="F36" s="40" t="s">
        <v>1872</v>
      </c>
      <c r="G36" s="40" t="s">
        <v>2366</v>
      </c>
      <c r="H36" s="40" t="s">
        <v>1860</v>
      </c>
    </row>
    <row r="37" spans="1:8" s="40" customFormat="1" x14ac:dyDescent="0.25">
      <c r="A37" s="25" t="s">
        <v>1580</v>
      </c>
      <c r="B37" s="40" t="s">
        <v>1902</v>
      </c>
      <c r="C37" s="25" t="s">
        <v>1588</v>
      </c>
      <c r="D37" s="40" t="s">
        <v>1888</v>
      </c>
      <c r="E37" s="81">
        <f>75/5280</f>
        <v>1.4204545454545454E-2</v>
      </c>
      <c r="F37" s="40" t="s">
        <v>1872</v>
      </c>
      <c r="G37" s="40" t="s">
        <v>2367</v>
      </c>
      <c r="H37" s="40" t="s">
        <v>1860</v>
      </c>
    </row>
    <row r="38" spans="1:8" s="40" customFormat="1" x14ac:dyDescent="0.25">
      <c r="A38" s="25" t="s">
        <v>1580</v>
      </c>
      <c r="B38" s="40" t="s">
        <v>1903</v>
      </c>
      <c r="C38" s="25" t="s">
        <v>1588</v>
      </c>
      <c r="D38" s="40" t="s">
        <v>1888</v>
      </c>
      <c r="E38" s="81">
        <f>79/5280</f>
        <v>1.4962121212121211E-2</v>
      </c>
      <c r="F38" s="40" t="s">
        <v>1872</v>
      </c>
      <c r="G38" s="40" t="s">
        <v>2368</v>
      </c>
      <c r="H38" s="40" t="s">
        <v>1860</v>
      </c>
    </row>
    <row r="39" spans="1:8" s="40" customFormat="1" x14ac:dyDescent="0.25">
      <c r="A39" s="25" t="s">
        <v>1580</v>
      </c>
      <c r="B39" s="40" t="s">
        <v>1904</v>
      </c>
      <c r="C39" s="25" t="s">
        <v>1588</v>
      </c>
      <c r="D39" s="40" t="s">
        <v>1888</v>
      </c>
      <c r="E39" s="81">
        <f>148/5280</f>
        <v>2.803030303030303E-2</v>
      </c>
      <c r="F39" s="40" t="s">
        <v>1872</v>
      </c>
      <c r="G39" s="40" t="s">
        <v>2366</v>
      </c>
      <c r="H39" s="40" t="s">
        <v>1860</v>
      </c>
    </row>
    <row r="40" spans="1:8" s="40" customFormat="1" x14ac:dyDescent="0.25">
      <c r="A40" s="25" t="s">
        <v>1580</v>
      </c>
      <c r="B40" s="40" t="s">
        <v>1905</v>
      </c>
      <c r="C40" s="25" t="s">
        <v>1588</v>
      </c>
      <c r="D40" s="40" t="s">
        <v>1888</v>
      </c>
      <c r="E40" s="81">
        <f>89/5280</f>
        <v>1.6856060606060607E-2</v>
      </c>
      <c r="F40" s="40" t="s">
        <v>1872</v>
      </c>
      <c r="G40" s="40" t="s">
        <v>2368</v>
      </c>
      <c r="H40" s="40" t="s">
        <v>1860</v>
      </c>
    </row>
    <row r="41" spans="1:8" s="40" customFormat="1" x14ac:dyDescent="0.25">
      <c r="A41" s="25" t="s">
        <v>1580</v>
      </c>
      <c r="B41" s="40" t="s">
        <v>1906</v>
      </c>
      <c r="C41" s="25" t="s">
        <v>1588</v>
      </c>
      <c r="D41" s="40" t="s">
        <v>1888</v>
      </c>
      <c r="E41" s="81">
        <f>53/5280</f>
        <v>1.0037878787878788E-2</v>
      </c>
      <c r="F41" s="40" t="s">
        <v>1872</v>
      </c>
      <c r="G41" s="40" t="s">
        <v>2366</v>
      </c>
      <c r="H41" s="40" t="s">
        <v>1860</v>
      </c>
    </row>
    <row r="42" spans="1:8" s="40" customFormat="1" x14ac:dyDescent="0.25">
      <c r="A42" s="25" t="s">
        <v>1580</v>
      </c>
      <c r="B42" s="40" t="s">
        <v>1907</v>
      </c>
      <c r="C42" s="25" t="s">
        <v>1588</v>
      </c>
      <c r="D42" s="40" t="s">
        <v>1888</v>
      </c>
      <c r="E42" s="81">
        <f>66/5280</f>
        <v>1.2500000000000001E-2</v>
      </c>
      <c r="F42" s="40" t="s">
        <v>1872</v>
      </c>
      <c r="G42" s="40" t="s">
        <v>2366</v>
      </c>
      <c r="H42" s="40" t="s">
        <v>1860</v>
      </c>
    </row>
    <row r="43" spans="1:8" s="40" customFormat="1" x14ac:dyDescent="0.25">
      <c r="A43" s="25" t="s">
        <v>1580</v>
      </c>
      <c r="B43" s="40" t="s">
        <v>1908</v>
      </c>
      <c r="C43" s="25" t="s">
        <v>1588</v>
      </c>
      <c r="D43" s="40" t="s">
        <v>1888</v>
      </c>
      <c r="E43" s="81">
        <f>68/5280</f>
        <v>1.2878787878787878E-2</v>
      </c>
      <c r="F43" s="40" t="s">
        <v>1872</v>
      </c>
      <c r="G43" s="40" t="s">
        <v>2369</v>
      </c>
      <c r="H43" s="40" t="s">
        <v>1860</v>
      </c>
    </row>
    <row r="44" spans="1:8" s="40" customFormat="1" x14ac:dyDescent="0.25">
      <c r="A44" s="25" t="s">
        <v>1580</v>
      </c>
      <c r="B44" s="40" t="s">
        <v>1909</v>
      </c>
      <c r="C44" s="25" t="s">
        <v>1588</v>
      </c>
      <c r="D44" s="40" t="s">
        <v>1888</v>
      </c>
      <c r="E44" s="81">
        <f>57/5280</f>
        <v>1.0795454545454546E-2</v>
      </c>
      <c r="F44" s="40" t="s">
        <v>1872</v>
      </c>
      <c r="G44" s="40" t="s">
        <v>2369</v>
      </c>
      <c r="H44" s="40" t="s">
        <v>1860</v>
      </c>
    </row>
    <row r="45" spans="1:8" s="40" customFormat="1" x14ac:dyDescent="0.25">
      <c r="A45" s="25" t="s">
        <v>1580</v>
      </c>
      <c r="B45" s="40" t="s">
        <v>1910</v>
      </c>
      <c r="C45" s="25" t="s">
        <v>1588</v>
      </c>
      <c r="D45" s="40" t="s">
        <v>1594</v>
      </c>
      <c r="E45" s="81">
        <f>481/5280</f>
        <v>9.1098484848484845E-2</v>
      </c>
      <c r="F45" s="40" t="s">
        <v>1872</v>
      </c>
      <c r="G45" s="40" t="s">
        <v>2370</v>
      </c>
      <c r="H45" s="40" t="s">
        <v>1860</v>
      </c>
    </row>
    <row r="46" spans="1:8" s="40" customFormat="1" x14ac:dyDescent="0.25">
      <c r="A46" s="25" t="s">
        <v>1580</v>
      </c>
      <c r="B46" s="40" t="s">
        <v>1911</v>
      </c>
      <c r="C46" s="25" t="s">
        <v>1588</v>
      </c>
      <c r="D46" s="40" t="s">
        <v>1888</v>
      </c>
      <c r="E46" s="81">
        <f>60/5280</f>
        <v>1.1363636363636364E-2</v>
      </c>
      <c r="F46" s="40" t="s">
        <v>1872</v>
      </c>
      <c r="G46" s="40" t="s">
        <v>2371</v>
      </c>
      <c r="H46" s="40" t="s">
        <v>1860</v>
      </c>
    </row>
    <row r="47" spans="1:8" s="40" customFormat="1" x14ac:dyDescent="0.25">
      <c r="A47" s="25" t="s">
        <v>1580</v>
      </c>
      <c r="B47" s="40" t="s">
        <v>1912</v>
      </c>
      <c r="C47" s="25" t="s">
        <v>1588</v>
      </c>
      <c r="D47" s="40" t="s">
        <v>1888</v>
      </c>
      <c r="E47" s="81">
        <f>62/5280</f>
        <v>1.1742424242424242E-2</v>
      </c>
      <c r="F47" s="40" t="s">
        <v>1872</v>
      </c>
      <c r="G47" s="40" t="s">
        <v>2366</v>
      </c>
      <c r="H47" s="40" t="s">
        <v>1860</v>
      </c>
    </row>
    <row r="48" spans="1:8" s="40" customFormat="1" x14ac:dyDescent="0.25">
      <c r="A48" s="25" t="s">
        <v>1580</v>
      </c>
      <c r="B48" s="40" t="s">
        <v>1913</v>
      </c>
      <c r="C48" s="25" t="s">
        <v>1588</v>
      </c>
      <c r="D48" s="40" t="s">
        <v>1888</v>
      </c>
      <c r="E48" s="81">
        <f>53/5280</f>
        <v>1.0037878787878788E-2</v>
      </c>
      <c r="F48" s="40" t="s">
        <v>1872</v>
      </c>
      <c r="G48" s="40" t="s">
        <v>2366</v>
      </c>
      <c r="H48" s="40" t="s">
        <v>1860</v>
      </c>
    </row>
    <row r="49" spans="1:8" s="40" customFormat="1" x14ac:dyDescent="0.25">
      <c r="A49" s="25" t="s">
        <v>1580</v>
      </c>
      <c r="B49" s="40" t="s">
        <v>1914</v>
      </c>
      <c r="C49" s="25" t="s">
        <v>1588</v>
      </c>
      <c r="D49" s="40" t="s">
        <v>1888</v>
      </c>
      <c r="E49" s="81">
        <f>56/5280</f>
        <v>1.0606060606060607E-2</v>
      </c>
      <c r="F49" s="40" t="s">
        <v>1872</v>
      </c>
      <c r="G49" s="40" t="s">
        <v>2369</v>
      </c>
      <c r="H49" s="40" t="s">
        <v>1860</v>
      </c>
    </row>
    <row r="50" spans="1:8" s="40" customFormat="1" x14ac:dyDescent="0.25">
      <c r="A50" s="25" t="s">
        <v>1580</v>
      </c>
      <c r="B50" s="40" t="s">
        <v>1916</v>
      </c>
      <c r="C50" s="25" t="s">
        <v>1588</v>
      </c>
      <c r="D50" s="40" t="s">
        <v>1888</v>
      </c>
      <c r="E50" s="81">
        <f>55/5280</f>
        <v>1.0416666666666666E-2</v>
      </c>
      <c r="F50" s="40" t="s">
        <v>1872</v>
      </c>
      <c r="G50" s="40" t="s">
        <v>2366</v>
      </c>
      <c r="H50" s="40" t="s">
        <v>1860</v>
      </c>
    </row>
    <row r="51" spans="1:8" s="40" customFormat="1" x14ac:dyDescent="0.25">
      <c r="A51" s="25" t="s">
        <v>1580</v>
      </c>
      <c r="B51" s="40" t="s">
        <v>1917</v>
      </c>
      <c r="C51" s="25" t="s">
        <v>1588</v>
      </c>
      <c r="D51" s="40" t="s">
        <v>1888</v>
      </c>
      <c r="E51" s="81">
        <f>52/5280</f>
        <v>9.8484848484848477E-3</v>
      </c>
      <c r="F51" s="40" t="s">
        <v>1872</v>
      </c>
      <c r="G51" s="40" t="s">
        <v>2369</v>
      </c>
      <c r="H51" s="40" t="s">
        <v>1860</v>
      </c>
    </row>
    <row r="52" spans="1:8" s="40" customFormat="1" x14ac:dyDescent="0.25">
      <c r="A52" s="25" t="s">
        <v>1580</v>
      </c>
      <c r="B52" s="40" t="s">
        <v>1918</v>
      </c>
      <c r="C52" s="25" t="s">
        <v>1588</v>
      </c>
      <c r="D52" s="40" t="s">
        <v>1888</v>
      </c>
      <c r="E52" s="81">
        <f>50/5280</f>
        <v>9.46969696969697E-3</v>
      </c>
      <c r="F52" s="40" t="s">
        <v>1872</v>
      </c>
      <c r="G52" s="40" t="s">
        <v>2372</v>
      </c>
      <c r="H52" s="40" t="s">
        <v>1860</v>
      </c>
    </row>
    <row r="53" spans="1:8" s="40" customFormat="1" x14ac:dyDescent="0.25">
      <c r="A53" s="25" t="s">
        <v>1580</v>
      </c>
      <c r="B53" s="40" t="s">
        <v>1919</v>
      </c>
      <c r="C53" s="25" t="s">
        <v>1588</v>
      </c>
      <c r="D53" s="40" t="s">
        <v>1888</v>
      </c>
      <c r="E53" s="81">
        <f>55/5280</f>
        <v>1.0416666666666666E-2</v>
      </c>
      <c r="F53" s="40" t="s">
        <v>1872</v>
      </c>
      <c r="G53" s="40" t="s">
        <v>2366</v>
      </c>
      <c r="H53" s="40" t="s">
        <v>1860</v>
      </c>
    </row>
    <row r="54" spans="1:8" s="40" customFormat="1" x14ac:dyDescent="0.25">
      <c r="A54" s="25" t="s">
        <v>1580</v>
      </c>
      <c r="B54" s="40" t="s">
        <v>1920</v>
      </c>
      <c r="C54" s="25" t="s">
        <v>1588</v>
      </c>
      <c r="D54" s="40" t="s">
        <v>1888</v>
      </c>
      <c r="E54" s="81">
        <f>62/5280</f>
        <v>1.1742424242424242E-2</v>
      </c>
      <c r="F54" s="40" t="s">
        <v>1872</v>
      </c>
      <c r="G54" s="40" t="s">
        <v>2369</v>
      </c>
      <c r="H54" s="40" t="s">
        <v>1860</v>
      </c>
    </row>
    <row r="55" spans="1:8" s="40" customFormat="1" x14ac:dyDescent="0.25">
      <c r="A55" s="25" t="s">
        <v>1580</v>
      </c>
      <c r="B55" s="40" t="s">
        <v>1921</v>
      </c>
      <c r="C55" s="25" t="s">
        <v>1588</v>
      </c>
      <c r="D55" s="40" t="s">
        <v>1888</v>
      </c>
      <c r="E55" s="81">
        <f>59/5280</f>
        <v>1.1174242424242425E-2</v>
      </c>
      <c r="F55" s="40" t="s">
        <v>1872</v>
      </c>
      <c r="G55" s="40" t="s">
        <v>2371</v>
      </c>
      <c r="H55" s="40" t="s">
        <v>1860</v>
      </c>
    </row>
    <row r="56" spans="1:8" s="40" customFormat="1" x14ac:dyDescent="0.25">
      <c r="A56" s="25" t="s">
        <v>1580</v>
      </c>
      <c r="B56" s="40" t="s">
        <v>1915</v>
      </c>
      <c r="C56" s="25" t="s">
        <v>1588</v>
      </c>
      <c r="D56" s="40" t="s">
        <v>6</v>
      </c>
      <c r="E56" s="81">
        <f>28370/5280</f>
        <v>5.3731060606060606</v>
      </c>
      <c r="F56" s="40" t="s">
        <v>43</v>
      </c>
      <c r="G56" s="40" t="s">
        <v>2373</v>
      </c>
      <c r="H56" s="40" t="s">
        <v>1860</v>
      </c>
    </row>
    <row r="57" spans="1:8" s="25" customFormat="1" x14ac:dyDescent="0.25">
      <c r="A57" s="25" t="s">
        <v>1580</v>
      </c>
      <c r="B57" s="25" t="s">
        <v>1587</v>
      </c>
      <c r="C57" s="25" t="s">
        <v>1588</v>
      </c>
      <c r="D57" s="25" t="s">
        <v>5</v>
      </c>
      <c r="E57" s="71">
        <f>64299/5280</f>
        <v>12.177840909090909</v>
      </c>
      <c r="F57" s="25" t="s">
        <v>911</v>
      </c>
      <c r="G57" s="25" t="s">
        <v>1589</v>
      </c>
      <c r="H57" s="25" t="s">
        <v>2064</v>
      </c>
    </row>
    <row r="58" spans="1:8" s="25" customFormat="1" x14ac:dyDescent="0.25">
      <c r="A58" s="25" t="s">
        <v>1580</v>
      </c>
      <c r="B58" t="s">
        <v>1923</v>
      </c>
      <c r="C58" s="25" t="s">
        <v>1588</v>
      </c>
      <c r="D58" s="25" t="s">
        <v>1922</v>
      </c>
      <c r="E58" s="71">
        <f>179/5280</f>
        <v>3.3901515151515155E-2</v>
      </c>
      <c r="F58" s="25" t="s">
        <v>1925</v>
      </c>
      <c r="H58" s="40" t="s">
        <v>1860</v>
      </c>
    </row>
    <row r="59" spans="1:8" s="25" customFormat="1" x14ac:dyDescent="0.25">
      <c r="A59" s="25" t="s">
        <v>1580</v>
      </c>
      <c r="B59" s="25" t="s">
        <v>1928</v>
      </c>
      <c r="C59" s="25" t="s">
        <v>1588</v>
      </c>
      <c r="D59" s="25" t="s">
        <v>1926</v>
      </c>
      <c r="E59" s="71">
        <f>169/5280</f>
        <v>3.2007575757575756E-2</v>
      </c>
      <c r="F59" s="25" t="s">
        <v>1872</v>
      </c>
      <c r="G59" s="25" t="s">
        <v>1927</v>
      </c>
      <c r="H59" s="40" t="s">
        <v>1860</v>
      </c>
    </row>
    <row r="60" spans="1:8" s="25" customFormat="1" x14ac:dyDescent="0.25">
      <c r="A60" s="25" t="s">
        <v>1580</v>
      </c>
      <c r="B60" s="25" t="s">
        <v>1929</v>
      </c>
      <c r="C60" s="25" t="s">
        <v>1588</v>
      </c>
      <c r="D60" s="25" t="s">
        <v>1926</v>
      </c>
      <c r="E60" s="71">
        <f>381/5280</f>
        <v>7.2159090909090909E-2</v>
      </c>
      <c r="F60" s="25" t="s">
        <v>871</v>
      </c>
      <c r="G60" s="25" t="s">
        <v>1930</v>
      </c>
      <c r="H60" s="40" t="s">
        <v>1860</v>
      </c>
    </row>
    <row r="61" spans="1:8" s="25" customFormat="1" x14ac:dyDescent="0.25">
      <c r="A61" s="25" t="s">
        <v>1580</v>
      </c>
      <c r="B61" t="s">
        <v>1924</v>
      </c>
      <c r="C61" s="25" t="s">
        <v>1588</v>
      </c>
      <c r="D61" s="25" t="s">
        <v>6</v>
      </c>
      <c r="E61" s="71">
        <f>(115486+18800+66816)/5280</f>
        <v>38.087499999999999</v>
      </c>
      <c r="F61" s="40" t="s">
        <v>43</v>
      </c>
      <c r="G61" s="25" t="s">
        <v>2376</v>
      </c>
      <c r="H61" s="25" t="s">
        <v>1861</v>
      </c>
    </row>
    <row r="62" spans="1:8" s="25" customFormat="1" x14ac:dyDescent="0.25">
      <c r="A62" s="25" t="s">
        <v>1580</v>
      </c>
      <c r="B62" s="25" t="s">
        <v>2374</v>
      </c>
      <c r="C62" s="25" t="s">
        <v>1588</v>
      </c>
      <c r="D62" s="25" t="s">
        <v>6</v>
      </c>
      <c r="E62" s="71">
        <f>90870/5280</f>
        <v>17.210227272727273</v>
      </c>
      <c r="F62" s="40" t="s">
        <v>43</v>
      </c>
      <c r="G62" s="25" t="s">
        <v>2375</v>
      </c>
      <c r="H62" s="40" t="s">
        <v>1860</v>
      </c>
    </row>
    <row r="63" spans="1:8" s="25" customFormat="1" x14ac:dyDescent="0.25">
      <c r="A63" s="25" t="s">
        <v>1580</v>
      </c>
      <c r="B63" s="25" t="s">
        <v>1590</v>
      </c>
      <c r="C63" s="25" t="s">
        <v>1591</v>
      </c>
      <c r="D63" s="25" t="s">
        <v>6</v>
      </c>
      <c r="E63" s="71">
        <f>(96543+22441+136524+45531)/5280</f>
        <v>57.014962121212122</v>
      </c>
      <c r="F63" s="40" t="s">
        <v>43</v>
      </c>
      <c r="G63" s="25" t="s">
        <v>2377</v>
      </c>
      <c r="H63" s="25" t="s">
        <v>1592</v>
      </c>
    </row>
    <row r="64" spans="1:8" s="25" customFormat="1" x14ac:dyDescent="0.25">
      <c r="A64" s="25" t="s">
        <v>1580</v>
      </c>
      <c r="B64" s="25" t="s">
        <v>1593</v>
      </c>
      <c r="C64" s="25" t="s">
        <v>1591</v>
      </c>
      <c r="D64" s="25" t="s">
        <v>1594</v>
      </c>
      <c r="E64" s="71">
        <f>8859/5280</f>
        <v>1.677840909090909</v>
      </c>
      <c r="F64" s="25" t="s">
        <v>9</v>
      </c>
      <c r="G64" s="25" t="s">
        <v>2378</v>
      </c>
      <c r="H64" s="25" t="s">
        <v>1931</v>
      </c>
    </row>
    <row r="65" spans="1:8" s="25" customFormat="1" x14ac:dyDescent="0.25">
      <c r="A65" s="25" t="s">
        <v>1580</v>
      </c>
      <c r="B65" s="25" t="s">
        <v>1933</v>
      </c>
      <c r="C65" s="25" t="s">
        <v>1591</v>
      </c>
      <c r="D65" s="25" t="s">
        <v>1932</v>
      </c>
      <c r="E65" s="68">
        <f>841/5280</f>
        <v>0.15928030303030302</v>
      </c>
      <c r="F65" s="25" t="s">
        <v>232</v>
      </c>
      <c r="G65" s="25" t="s">
        <v>2379</v>
      </c>
      <c r="H65" s="25" t="s">
        <v>1931</v>
      </c>
    </row>
    <row r="66" spans="1:8" s="25" customFormat="1" x14ac:dyDescent="0.25">
      <c r="A66" s="25" t="s">
        <v>1580</v>
      </c>
      <c r="B66" s="25" t="s">
        <v>1934</v>
      </c>
      <c r="C66" s="25" t="s">
        <v>1591</v>
      </c>
      <c r="D66" s="25" t="s">
        <v>1935</v>
      </c>
      <c r="E66" s="68">
        <f>131/5280</f>
        <v>2.4810606060606061E-2</v>
      </c>
      <c r="F66" s="25" t="s">
        <v>9</v>
      </c>
      <c r="G66" s="25" t="s">
        <v>2380</v>
      </c>
      <c r="H66" s="25" t="s">
        <v>1931</v>
      </c>
    </row>
    <row r="67" spans="1:8" s="25" customFormat="1" x14ac:dyDescent="0.25">
      <c r="A67" s="25" t="s">
        <v>1580</v>
      </c>
      <c r="B67" s="25" t="s">
        <v>1936</v>
      </c>
      <c r="C67" s="25" t="s">
        <v>1591</v>
      </c>
      <c r="D67" s="25" t="s">
        <v>1935</v>
      </c>
      <c r="E67" s="68">
        <f>314/5280</f>
        <v>5.9469696969696971E-2</v>
      </c>
      <c r="F67" s="25" t="s">
        <v>9</v>
      </c>
      <c r="G67" s="25" t="s">
        <v>2380</v>
      </c>
      <c r="H67" s="25" t="s">
        <v>1931</v>
      </c>
    </row>
    <row r="68" spans="1:8" s="25" customFormat="1" x14ac:dyDescent="0.25">
      <c r="A68" s="25" t="s">
        <v>1580</v>
      </c>
      <c r="B68" s="25" t="s">
        <v>1937</v>
      </c>
      <c r="C68" s="25" t="s">
        <v>1591</v>
      </c>
      <c r="D68" s="25" t="s">
        <v>1935</v>
      </c>
      <c r="E68" s="68">
        <f>111/5280</f>
        <v>2.1022727272727273E-2</v>
      </c>
      <c r="F68" s="25" t="s">
        <v>1872</v>
      </c>
      <c r="G68" s="25" t="s">
        <v>2380</v>
      </c>
      <c r="H68" s="25" t="s">
        <v>1931</v>
      </c>
    </row>
    <row r="69" spans="1:8" s="25" customFormat="1" x14ac:dyDescent="0.25">
      <c r="A69" s="25" t="s">
        <v>1580</v>
      </c>
      <c r="B69" s="25" t="s">
        <v>1939</v>
      </c>
      <c r="C69" s="25" t="s">
        <v>1591</v>
      </c>
      <c r="D69" s="25" t="s">
        <v>1594</v>
      </c>
      <c r="E69" s="68">
        <f>2754/5280</f>
        <v>0.52159090909090911</v>
      </c>
      <c r="F69" s="25" t="s">
        <v>1938</v>
      </c>
      <c r="G69" s="25" t="s">
        <v>2381</v>
      </c>
      <c r="H69" s="25" t="s">
        <v>1931</v>
      </c>
    </row>
    <row r="70" spans="1:8" s="25" customFormat="1" x14ac:dyDescent="0.25">
      <c r="A70" s="25" t="s">
        <v>1580</v>
      </c>
      <c r="B70" s="25" t="s">
        <v>1940</v>
      </c>
      <c r="C70" s="25" t="s">
        <v>1591</v>
      </c>
      <c r="D70" s="25" t="s">
        <v>1941</v>
      </c>
      <c r="E70" s="68">
        <f>80/5280</f>
        <v>1.5151515151515152E-2</v>
      </c>
      <c r="F70" s="25" t="s">
        <v>1872</v>
      </c>
      <c r="G70" s="40" t="s">
        <v>2382</v>
      </c>
      <c r="H70" s="25" t="s">
        <v>1931</v>
      </c>
    </row>
    <row r="71" spans="1:8" s="25" customFormat="1" x14ac:dyDescent="0.25">
      <c r="A71" s="25" t="s">
        <v>1580</v>
      </c>
      <c r="B71" s="25" t="s">
        <v>1942</v>
      </c>
      <c r="C71" s="25" t="s">
        <v>1591</v>
      </c>
      <c r="D71" s="25" t="s">
        <v>1941</v>
      </c>
      <c r="E71" s="68">
        <f>244/5280</f>
        <v>4.6212121212121211E-2</v>
      </c>
      <c r="F71" s="25" t="s">
        <v>1872</v>
      </c>
      <c r="G71" s="40" t="s">
        <v>2383</v>
      </c>
      <c r="H71" s="25" t="s">
        <v>1931</v>
      </c>
    </row>
    <row r="72" spans="1:8" s="25" customFormat="1" x14ac:dyDescent="0.25">
      <c r="A72" s="25" t="s">
        <v>1580</v>
      </c>
      <c r="B72" s="25" t="s">
        <v>1943</v>
      </c>
      <c r="C72" s="25" t="s">
        <v>1591</v>
      </c>
      <c r="D72" s="25" t="s">
        <v>1941</v>
      </c>
      <c r="E72" s="68">
        <f>202/5280</f>
        <v>3.8257575757575754E-2</v>
      </c>
      <c r="F72" s="25" t="s">
        <v>1872</v>
      </c>
      <c r="G72" s="40" t="s">
        <v>2382</v>
      </c>
      <c r="H72" s="25" t="s">
        <v>1931</v>
      </c>
    </row>
    <row r="73" spans="1:8" s="25" customFormat="1" x14ac:dyDescent="0.25">
      <c r="A73" s="25" t="s">
        <v>1580</v>
      </c>
      <c r="B73" s="25" t="s">
        <v>1595</v>
      </c>
      <c r="C73" s="25" t="s">
        <v>1596</v>
      </c>
      <c r="D73" s="25" t="s">
        <v>1594</v>
      </c>
      <c r="E73" s="71">
        <f>21498/5280</f>
        <v>4.0715909090909088</v>
      </c>
      <c r="F73" s="25" t="s">
        <v>9</v>
      </c>
      <c r="G73" s="25" t="s">
        <v>1597</v>
      </c>
      <c r="H73" s="25" t="s">
        <v>1633</v>
      </c>
    </row>
    <row r="74" spans="1:8" s="25" customFormat="1" x14ac:dyDescent="0.25">
      <c r="A74" s="25" t="s">
        <v>1580</v>
      </c>
      <c r="B74" s="23" t="s">
        <v>1598</v>
      </c>
      <c r="C74" s="25" t="s">
        <v>1596</v>
      </c>
      <c r="D74" s="25" t="s">
        <v>1599</v>
      </c>
      <c r="E74" s="71">
        <f>18726/5280</f>
        <v>3.5465909090909089</v>
      </c>
      <c r="F74" s="25" t="s">
        <v>1600</v>
      </c>
      <c r="G74" s="25" t="s">
        <v>1601</v>
      </c>
      <c r="H74" s="25" t="s">
        <v>1633</v>
      </c>
    </row>
    <row r="75" spans="1:8" s="25" customFormat="1" x14ac:dyDescent="0.25">
      <c r="A75" s="25" t="s">
        <v>1580</v>
      </c>
      <c r="B75" s="25" t="s">
        <v>1602</v>
      </c>
      <c r="C75" s="25" t="s">
        <v>1596</v>
      </c>
      <c r="D75" s="25" t="s">
        <v>1599</v>
      </c>
      <c r="E75" s="71">
        <f>41841/5280</f>
        <v>7.9244318181818185</v>
      </c>
      <c r="F75" s="25" t="s">
        <v>1600</v>
      </c>
      <c r="G75" s="40" t="s">
        <v>1603</v>
      </c>
      <c r="H75" s="25" t="s">
        <v>1633</v>
      </c>
    </row>
    <row r="76" spans="1:8" s="25" customFormat="1" x14ac:dyDescent="0.25">
      <c r="A76" s="25" t="s">
        <v>1580</v>
      </c>
      <c r="B76" s="25" t="s">
        <v>1946</v>
      </c>
      <c r="C76" s="25" t="s">
        <v>1596</v>
      </c>
      <c r="D76" s="25" t="s">
        <v>1944</v>
      </c>
      <c r="E76" s="71">
        <f>1420/5280</f>
        <v>0.26893939393939392</v>
      </c>
      <c r="F76" s="25" t="s">
        <v>1872</v>
      </c>
      <c r="G76" s="40" t="s">
        <v>1714</v>
      </c>
      <c r="H76" s="40" t="s">
        <v>1945</v>
      </c>
    </row>
    <row r="77" spans="1:8" s="25" customFormat="1" x14ac:dyDescent="0.25">
      <c r="A77" s="25" t="s">
        <v>1580</v>
      </c>
      <c r="B77" s="25" t="s">
        <v>1947</v>
      </c>
      <c r="C77" s="25" t="s">
        <v>1596</v>
      </c>
      <c r="D77" s="25" t="s">
        <v>1594</v>
      </c>
      <c r="E77" s="71">
        <f>614/5280</f>
        <v>0.11628787878787879</v>
      </c>
      <c r="F77" s="25" t="s">
        <v>1872</v>
      </c>
      <c r="G77" s="40" t="s">
        <v>2384</v>
      </c>
      <c r="H77" s="40" t="s">
        <v>1945</v>
      </c>
    </row>
    <row r="78" spans="1:8" s="25" customFormat="1" x14ac:dyDescent="0.25">
      <c r="A78" s="25" t="s">
        <v>1580</v>
      </c>
      <c r="B78" s="25" t="s">
        <v>1948</v>
      </c>
      <c r="C78" s="25" t="s">
        <v>1596</v>
      </c>
      <c r="D78" s="25" t="s">
        <v>1944</v>
      </c>
      <c r="E78" s="71">
        <f>515/5280</f>
        <v>9.7537878787878785E-2</v>
      </c>
      <c r="F78" s="25" t="s">
        <v>1872</v>
      </c>
      <c r="G78" s="40" t="s">
        <v>2385</v>
      </c>
      <c r="H78" s="40" t="s">
        <v>1945</v>
      </c>
    </row>
    <row r="79" spans="1:8" s="25" customFormat="1" x14ac:dyDescent="0.25">
      <c r="A79" s="25" t="s">
        <v>1580</v>
      </c>
      <c r="B79" s="25" t="s">
        <v>1949</v>
      </c>
      <c r="C79" s="25" t="s">
        <v>1596</v>
      </c>
      <c r="D79" s="25" t="s">
        <v>1944</v>
      </c>
      <c r="E79" s="71">
        <f>227/5280</f>
        <v>4.2992424242424242E-2</v>
      </c>
      <c r="F79" s="25" t="s">
        <v>1872</v>
      </c>
      <c r="G79" s="25" t="s">
        <v>2386</v>
      </c>
      <c r="H79" s="40" t="s">
        <v>1945</v>
      </c>
    </row>
    <row r="80" spans="1:8" s="25" customFormat="1" x14ac:dyDescent="0.25">
      <c r="A80" s="25" t="s">
        <v>1580</v>
      </c>
      <c r="B80" s="25" t="s">
        <v>1951</v>
      </c>
      <c r="C80" s="25" t="s">
        <v>1605</v>
      </c>
      <c r="D80" s="25" t="s">
        <v>1950</v>
      </c>
      <c r="E80" s="71">
        <f>119/5280</f>
        <v>2.2537878787878787E-2</v>
      </c>
      <c r="F80" s="25" t="s">
        <v>1872</v>
      </c>
      <c r="G80" s="40"/>
      <c r="H80" s="40" t="s">
        <v>1952</v>
      </c>
    </row>
    <row r="81" spans="1:8" s="25" customFormat="1" x14ac:dyDescent="0.25">
      <c r="A81" s="25" t="s">
        <v>1580</v>
      </c>
      <c r="B81" s="25" t="s">
        <v>1953</v>
      </c>
      <c r="C81" s="25" t="s">
        <v>1605</v>
      </c>
      <c r="D81" s="25" t="s">
        <v>1950</v>
      </c>
      <c r="E81" s="71">
        <f>74/5280</f>
        <v>1.4015151515151515E-2</v>
      </c>
      <c r="F81" s="25" t="s">
        <v>1872</v>
      </c>
      <c r="G81" s="40"/>
      <c r="H81" s="40" t="s">
        <v>1952</v>
      </c>
    </row>
    <row r="82" spans="1:8" s="25" customFormat="1" x14ac:dyDescent="0.25">
      <c r="A82" s="25" t="s">
        <v>1580</v>
      </c>
      <c r="B82" s="25" t="s">
        <v>1954</v>
      </c>
      <c r="C82" s="25" t="s">
        <v>1605</v>
      </c>
      <c r="D82" s="25" t="s">
        <v>1950</v>
      </c>
      <c r="E82" s="71">
        <f>55/5280</f>
        <v>1.0416666666666666E-2</v>
      </c>
      <c r="F82" s="25" t="s">
        <v>1872</v>
      </c>
      <c r="G82" s="40"/>
      <c r="H82" s="40" t="s">
        <v>1952</v>
      </c>
    </row>
    <row r="83" spans="1:8" s="25" customFormat="1" x14ac:dyDescent="0.25">
      <c r="A83" s="25" t="s">
        <v>1580</v>
      </c>
      <c r="B83" s="25" t="s">
        <v>1955</v>
      </c>
      <c r="C83" s="25" t="s">
        <v>1605</v>
      </c>
      <c r="D83" s="25" t="s">
        <v>1950</v>
      </c>
      <c r="E83" s="71">
        <f>76/5280</f>
        <v>1.4393939393939395E-2</v>
      </c>
      <c r="F83" s="25" t="s">
        <v>1872</v>
      </c>
      <c r="G83" s="40"/>
      <c r="H83" s="40" t="s">
        <v>1952</v>
      </c>
    </row>
    <row r="84" spans="1:8" s="25" customFormat="1" x14ac:dyDescent="0.25">
      <c r="A84" s="25" t="s">
        <v>1580</v>
      </c>
      <c r="B84" s="25" t="s">
        <v>1956</v>
      </c>
      <c r="C84" s="25" t="s">
        <v>1605</v>
      </c>
      <c r="D84" s="25" t="s">
        <v>1950</v>
      </c>
      <c r="E84" s="71">
        <f>73/5280</f>
        <v>1.3825757575757576E-2</v>
      </c>
      <c r="F84" s="25" t="s">
        <v>1872</v>
      </c>
      <c r="G84" s="40"/>
      <c r="H84" s="40" t="s">
        <v>1952</v>
      </c>
    </row>
    <row r="85" spans="1:8" s="25" customFormat="1" x14ac:dyDescent="0.25">
      <c r="A85" s="25" t="s">
        <v>1580</v>
      </c>
      <c r="B85" s="25" t="s">
        <v>1957</v>
      </c>
      <c r="C85" s="25" t="s">
        <v>1605</v>
      </c>
      <c r="D85" s="25" t="s">
        <v>1950</v>
      </c>
      <c r="E85" s="71">
        <f>60/5280</f>
        <v>1.1363636363636364E-2</v>
      </c>
      <c r="F85" s="25" t="s">
        <v>1872</v>
      </c>
      <c r="G85" s="40"/>
      <c r="H85" s="40" t="s">
        <v>1952</v>
      </c>
    </row>
    <row r="86" spans="1:8" s="25" customFormat="1" x14ac:dyDescent="0.25">
      <c r="A86" s="25" t="s">
        <v>1580</v>
      </c>
      <c r="B86" s="25" t="s">
        <v>1958</v>
      </c>
      <c r="C86" s="25" t="s">
        <v>1605</v>
      </c>
      <c r="D86" s="25" t="s">
        <v>1950</v>
      </c>
      <c r="E86" s="71">
        <f>54/5280</f>
        <v>1.0227272727272727E-2</v>
      </c>
      <c r="F86" s="25" t="s">
        <v>1872</v>
      </c>
      <c r="G86" s="40"/>
      <c r="H86" s="40" t="s">
        <v>1952</v>
      </c>
    </row>
    <row r="87" spans="1:8" s="25" customFormat="1" x14ac:dyDescent="0.25">
      <c r="A87" s="25" t="s">
        <v>1580</v>
      </c>
      <c r="B87" s="25" t="s">
        <v>1878</v>
      </c>
      <c r="C87" s="25" t="s">
        <v>1605</v>
      </c>
      <c r="D87" s="25" t="s">
        <v>1950</v>
      </c>
      <c r="E87" s="71">
        <f>51/5280</f>
        <v>9.6590909090909088E-3</v>
      </c>
      <c r="F87" s="25" t="s">
        <v>1872</v>
      </c>
      <c r="G87" s="40"/>
      <c r="H87" s="40" t="s">
        <v>1952</v>
      </c>
    </row>
    <row r="88" spans="1:8" s="25" customFormat="1" x14ac:dyDescent="0.25">
      <c r="A88" s="25" t="s">
        <v>1580</v>
      </c>
      <c r="B88" s="25" t="s">
        <v>1959</v>
      </c>
      <c r="C88" s="25" t="s">
        <v>1605</v>
      </c>
      <c r="D88" s="25" t="s">
        <v>1950</v>
      </c>
      <c r="E88" s="71">
        <f>63/5280</f>
        <v>1.1931818181818182E-2</v>
      </c>
      <c r="F88" s="25" t="s">
        <v>1872</v>
      </c>
      <c r="G88" s="40"/>
      <c r="H88" s="40" t="s">
        <v>1952</v>
      </c>
    </row>
    <row r="89" spans="1:8" s="25" customFormat="1" x14ac:dyDescent="0.25">
      <c r="A89" s="25" t="s">
        <v>1580</v>
      </c>
      <c r="B89" s="25" t="s">
        <v>1960</v>
      </c>
      <c r="C89" s="25" t="s">
        <v>1605</v>
      </c>
      <c r="D89" s="25" t="s">
        <v>1950</v>
      </c>
      <c r="E89" s="71">
        <f>69/5280</f>
        <v>1.3068181818181817E-2</v>
      </c>
      <c r="F89" s="25" t="s">
        <v>1872</v>
      </c>
      <c r="G89" s="40"/>
      <c r="H89" s="40" t="s">
        <v>1952</v>
      </c>
    </row>
    <row r="90" spans="1:8" s="25" customFormat="1" x14ac:dyDescent="0.25">
      <c r="A90" s="25" t="s">
        <v>1580</v>
      </c>
      <c r="B90" s="25" t="s">
        <v>1962</v>
      </c>
      <c r="C90" s="25" t="s">
        <v>1605</v>
      </c>
      <c r="D90" s="25" t="s">
        <v>1961</v>
      </c>
      <c r="E90" s="71">
        <f>71/5280</f>
        <v>1.3446969696969697E-2</v>
      </c>
      <c r="F90" s="25" t="s">
        <v>1872</v>
      </c>
      <c r="G90" s="40" t="s">
        <v>1714</v>
      </c>
      <c r="H90" s="40" t="s">
        <v>1952</v>
      </c>
    </row>
    <row r="91" spans="1:8" s="25" customFormat="1" x14ac:dyDescent="0.25">
      <c r="A91" s="25" t="s">
        <v>1580</v>
      </c>
      <c r="B91" s="25" t="s">
        <v>1966</v>
      </c>
      <c r="C91" s="25" t="s">
        <v>1605</v>
      </c>
      <c r="D91" s="25" t="s">
        <v>1961</v>
      </c>
      <c r="E91" s="71">
        <f>62/5280</f>
        <v>1.1742424242424242E-2</v>
      </c>
      <c r="F91" s="25" t="s">
        <v>1872</v>
      </c>
      <c r="G91" s="40" t="s">
        <v>1714</v>
      </c>
      <c r="H91" s="40" t="s">
        <v>1952</v>
      </c>
    </row>
    <row r="92" spans="1:8" s="25" customFormat="1" x14ac:dyDescent="0.25">
      <c r="A92" s="25" t="s">
        <v>1580</v>
      </c>
      <c r="B92" s="25" t="s">
        <v>1963</v>
      </c>
      <c r="C92" s="25" t="s">
        <v>1605</v>
      </c>
      <c r="D92" s="25" t="s">
        <v>1961</v>
      </c>
      <c r="E92" s="71">
        <f>56/5280</f>
        <v>1.0606060606060607E-2</v>
      </c>
      <c r="F92" s="25" t="s">
        <v>1872</v>
      </c>
      <c r="G92" s="40" t="s">
        <v>1714</v>
      </c>
      <c r="H92" s="40" t="s">
        <v>1952</v>
      </c>
    </row>
    <row r="93" spans="1:8" s="25" customFormat="1" x14ac:dyDescent="0.25">
      <c r="A93" s="25" t="s">
        <v>1580</v>
      </c>
      <c r="B93" s="25" t="s">
        <v>1964</v>
      </c>
      <c r="C93" s="25" t="s">
        <v>1605</v>
      </c>
      <c r="D93" s="25" t="s">
        <v>1961</v>
      </c>
      <c r="E93" s="71">
        <f>64/5280</f>
        <v>1.2121212121212121E-2</v>
      </c>
      <c r="F93" s="25" t="s">
        <v>1872</v>
      </c>
      <c r="G93" s="40" t="s">
        <v>1714</v>
      </c>
      <c r="H93" s="40" t="s">
        <v>1952</v>
      </c>
    </row>
    <row r="94" spans="1:8" s="25" customFormat="1" x14ac:dyDescent="0.25">
      <c r="A94" s="25" t="s">
        <v>1580</v>
      </c>
      <c r="B94" s="25" t="s">
        <v>1965</v>
      </c>
      <c r="C94" s="25" t="s">
        <v>1605</v>
      </c>
      <c r="D94" s="25" t="s">
        <v>1961</v>
      </c>
      <c r="E94" s="71">
        <f>61/5280</f>
        <v>1.1553030303030303E-2</v>
      </c>
      <c r="F94" s="25" t="s">
        <v>1872</v>
      </c>
      <c r="G94" s="40" t="s">
        <v>1714</v>
      </c>
      <c r="H94" s="40" t="s">
        <v>1952</v>
      </c>
    </row>
    <row r="95" spans="1:8" s="25" customFormat="1" x14ac:dyDescent="0.25">
      <c r="A95" s="25" t="s">
        <v>1580</v>
      </c>
      <c r="B95" s="25" t="s">
        <v>1967</v>
      </c>
      <c r="C95" s="25" t="s">
        <v>1605</v>
      </c>
      <c r="D95" s="25" t="s">
        <v>1961</v>
      </c>
      <c r="E95" s="71">
        <f>50/5280</f>
        <v>9.46969696969697E-3</v>
      </c>
      <c r="F95" s="25" t="s">
        <v>1872</v>
      </c>
      <c r="G95" s="40" t="s">
        <v>1714</v>
      </c>
      <c r="H95" s="40" t="s">
        <v>1952</v>
      </c>
    </row>
    <row r="96" spans="1:8" s="25" customFormat="1" x14ac:dyDescent="0.25">
      <c r="A96" s="25" t="s">
        <v>1580</v>
      </c>
      <c r="B96" s="25" t="s">
        <v>1968</v>
      </c>
      <c r="C96" s="25" t="s">
        <v>1605</v>
      </c>
      <c r="D96" s="25" t="s">
        <v>1961</v>
      </c>
      <c r="E96" s="71">
        <f>63/5280</f>
        <v>1.1931818181818182E-2</v>
      </c>
      <c r="F96" s="25" t="s">
        <v>1872</v>
      </c>
      <c r="G96" s="40" t="s">
        <v>1714</v>
      </c>
      <c r="H96" s="40" t="s">
        <v>1952</v>
      </c>
    </row>
    <row r="97" spans="1:8" s="25" customFormat="1" x14ac:dyDescent="0.25">
      <c r="A97" s="25" t="s">
        <v>1580</v>
      </c>
      <c r="B97" s="25" t="s">
        <v>1969</v>
      </c>
      <c r="C97" s="25" t="s">
        <v>1605</v>
      </c>
      <c r="D97" s="25" t="s">
        <v>1961</v>
      </c>
      <c r="E97" s="71">
        <f>60/5280</f>
        <v>1.1363636363636364E-2</v>
      </c>
      <c r="F97" s="25" t="s">
        <v>1872</v>
      </c>
      <c r="G97" s="40" t="s">
        <v>1714</v>
      </c>
      <c r="H97" s="40" t="s">
        <v>1952</v>
      </c>
    </row>
    <row r="98" spans="1:8" s="25" customFormat="1" x14ac:dyDescent="0.25">
      <c r="A98" s="25" t="s">
        <v>1580</v>
      </c>
      <c r="B98" s="25" t="s">
        <v>1970</v>
      </c>
      <c r="C98" s="25" t="s">
        <v>1605</v>
      </c>
      <c r="D98" s="25" t="s">
        <v>1961</v>
      </c>
      <c r="E98" s="71">
        <f>46/5280</f>
        <v>8.7121212121212127E-3</v>
      </c>
      <c r="F98" s="25" t="s">
        <v>1872</v>
      </c>
      <c r="G98" s="40" t="s">
        <v>1714</v>
      </c>
      <c r="H98" s="40" t="s">
        <v>1952</v>
      </c>
    </row>
    <row r="99" spans="1:8" s="25" customFormat="1" x14ac:dyDescent="0.25">
      <c r="A99" s="25" t="s">
        <v>1580</v>
      </c>
      <c r="B99" s="25" t="s">
        <v>1971</v>
      </c>
      <c r="C99" s="25" t="s">
        <v>1605</v>
      </c>
      <c r="D99" s="25" t="s">
        <v>1961</v>
      </c>
      <c r="E99" s="71">
        <f>60/5280</f>
        <v>1.1363636363636364E-2</v>
      </c>
      <c r="F99" s="25" t="s">
        <v>1872</v>
      </c>
      <c r="G99" s="40" t="s">
        <v>1714</v>
      </c>
      <c r="H99" s="40" t="s">
        <v>1952</v>
      </c>
    </row>
    <row r="100" spans="1:8" s="25" customFormat="1" x14ac:dyDescent="0.25">
      <c r="A100" s="25" t="s">
        <v>1580</v>
      </c>
      <c r="B100" s="25" t="s">
        <v>1972</v>
      </c>
      <c r="C100" s="25" t="s">
        <v>1605</v>
      </c>
      <c r="D100" s="25" t="s">
        <v>1961</v>
      </c>
      <c r="E100" s="71">
        <f>61/5280</f>
        <v>1.1553030303030303E-2</v>
      </c>
      <c r="F100" s="25" t="s">
        <v>1872</v>
      </c>
      <c r="G100" s="40" t="s">
        <v>1714</v>
      </c>
      <c r="H100" s="40" t="s">
        <v>1952</v>
      </c>
    </row>
    <row r="101" spans="1:8" s="25" customFormat="1" x14ac:dyDescent="0.25">
      <c r="A101" s="25" t="s">
        <v>1580</v>
      </c>
      <c r="B101" s="25" t="s">
        <v>1973</v>
      </c>
      <c r="C101" s="25" t="s">
        <v>1605</v>
      </c>
      <c r="D101" s="25" t="s">
        <v>1961</v>
      </c>
      <c r="E101" s="71">
        <f>174/5280</f>
        <v>3.2954545454545452E-2</v>
      </c>
      <c r="F101" s="25" t="s">
        <v>1872</v>
      </c>
      <c r="G101" s="40" t="s">
        <v>1714</v>
      </c>
      <c r="H101" s="40" t="s">
        <v>1952</v>
      </c>
    </row>
    <row r="102" spans="1:8" s="25" customFormat="1" x14ac:dyDescent="0.25">
      <c r="A102" s="25" t="s">
        <v>1580</v>
      </c>
      <c r="B102" s="25" t="s">
        <v>1974</v>
      </c>
      <c r="C102" s="25" t="s">
        <v>1605</v>
      </c>
      <c r="D102" s="25" t="s">
        <v>1961</v>
      </c>
      <c r="E102" s="71">
        <f>293/5280</f>
        <v>5.5492424242424246E-2</v>
      </c>
      <c r="F102" s="25" t="s">
        <v>1872</v>
      </c>
      <c r="G102" s="40" t="s">
        <v>1714</v>
      </c>
      <c r="H102" s="40" t="s">
        <v>1952</v>
      </c>
    </row>
    <row r="103" spans="1:8" s="25" customFormat="1" x14ac:dyDescent="0.25">
      <c r="A103" s="25" t="s">
        <v>1580</v>
      </c>
      <c r="B103" s="25" t="s">
        <v>1604</v>
      </c>
      <c r="C103" s="25" t="s">
        <v>1605</v>
      </c>
      <c r="D103" s="25" t="s">
        <v>1585</v>
      </c>
      <c r="E103" s="71">
        <f>21306/5280</f>
        <v>4.0352272727272727</v>
      </c>
      <c r="F103" s="25" t="s">
        <v>1586</v>
      </c>
      <c r="G103" s="25" t="s">
        <v>1975</v>
      </c>
      <c r="H103" s="40" t="s">
        <v>1952</v>
      </c>
    </row>
    <row r="104" spans="1:8" s="25" customFormat="1" x14ac:dyDescent="0.25">
      <c r="A104" s="25" t="s">
        <v>1580</v>
      </c>
      <c r="B104" s="23" t="s">
        <v>1606</v>
      </c>
      <c r="C104" s="25" t="s">
        <v>1607</v>
      </c>
      <c r="D104" s="25" t="s">
        <v>1608</v>
      </c>
      <c r="E104" s="71">
        <f>(1015+2628)/5280</f>
        <v>0.68996212121212119</v>
      </c>
      <c r="F104" s="25" t="s">
        <v>1609</v>
      </c>
      <c r="G104" s="25" t="s">
        <v>2387</v>
      </c>
      <c r="H104" s="25" t="s">
        <v>1647</v>
      </c>
    </row>
    <row r="105" spans="1:8" s="25" customFormat="1" x14ac:dyDescent="0.25">
      <c r="A105" s="25" t="s">
        <v>1580</v>
      </c>
      <c r="B105" s="23" t="s">
        <v>1977</v>
      </c>
      <c r="C105" s="25" t="s">
        <v>1607</v>
      </c>
      <c r="D105" s="25" t="s">
        <v>1976</v>
      </c>
      <c r="E105" s="71">
        <f>64/5280</f>
        <v>1.2121212121212121E-2</v>
      </c>
      <c r="F105" s="25" t="s">
        <v>1872</v>
      </c>
      <c r="G105" s="25" t="s">
        <v>1714</v>
      </c>
      <c r="H105" s="25" t="s">
        <v>1978</v>
      </c>
    </row>
    <row r="106" spans="1:8" s="25" customFormat="1" x14ac:dyDescent="0.25">
      <c r="A106" s="25" t="s">
        <v>1580</v>
      </c>
      <c r="B106" s="23" t="s">
        <v>1979</v>
      </c>
      <c r="C106" s="25" t="s">
        <v>1607</v>
      </c>
      <c r="D106" s="25" t="s">
        <v>1976</v>
      </c>
      <c r="E106" s="71">
        <f>147/5280</f>
        <v>2.784090909090909E-2</v>
      </c>
      <c r="F106" s="25" t="s">
        <v>1872</v>
      </c>
      <c r="G106" s="25" t="s">
        <v>1632</v>
      </c>
      <c r="H106" s="25" t="s">
        <v>1978</v>
      </c>
    </row>
    <row r="107" spans="1:8" s="25" customFormat="1" x14ac:dyDescent="0.25">
      <c r="A107" s="25" t="s">
        <v>1580</v>
      </c>
      <c r="B107" s="23" t="s">
        <v>1980</v>
      </c>
      <c r="C107" s="25" t="s">
        <v>1607</v>
      </c>
      <c r="D107" s="25" t="s">
        <v>1976</v>
      </c>
      <c r="E107" s="71">
        <f>169/5280</f>
        <v>3.2007575757575756E-2</v>
      </c>
      <c r="F107" s="25" t="s">
        <v>1872</v>
      </c>
      <c r="G107" s="25" t="s">
        <v>1714</v>
      </c>
      <c r="H107" s="25" t="s">
        <v>1978</v>
      </c>
    </row>
    <row r="108" spans="1:8" s="25" customFormat="1" x14ac:dyDescent="0.25">
      <c r="A108" s="25" t="s">
        <v>1580</v>
      </c>
      <c r="B108" s="23" t="s">
        <v>1981</v>
      </c>
      <c r="C108" s="25" t="s">
        <v>1607</v>
      </c>
      <c r="D108" s="25" t="s">
        <v>1976</v>
      </c>
      <c r="E108" s="71">
        <f>76/5280</f>
        <v>1.4393939393939395E-2</v>
      </c>
      <c r="F108" s="25" t="s">
        <v>1872</v>
      </c>
      <c r="G108" s="25" t="s">
        <v>1714</v>
      </c>
      <c r="H108" s="25" t="s">
        <v>1978</v>
      </c>
    </row>
    <row r="109" spans="1:8" s="25" customFormat="1" x14ac:dyDescent="0.25">
      <c r="A109" s="25" t="s">
        <v>1580</v>
      </c>
      <c r="B109" s="23" t="s">
        <v>1982</v>
      </c>
      <c r="C109" s="25" t="s">
        <v>1607</v>
      </c>
      <c r="D109" s="25" t="s">
        <v>1976</v>
      </c>
      <c r="E109" s="71">
        <f>126/5280</f>
        <v>2.3863636363636365E-2</v>
      </c>
      <c r="F109" s="25" t="s">
        <v>1872</v>
      </c>
      <c r="G109" s="25" t="s">
        <v>1714</v>
      </c>
      <c r="H109" s="25" t="s">
        <v>1978</v>
      </c>
    </row>
    <row r="110" spans="1:8" s="25" customFormat="1" x14ac:dyDescent="0.25">
      <c r="A110" s="25" t="s">
        <v>1580</v>
      </c>
      <c r="B110" s="23" t="s">
        <v>1984</v>
      </c>
      <c r="C110" s="25" t="s">
        <v>1607</v>
      </c>
      <c r="D110" s="25" t="s">
        <v>1976</v>
      </c>
      <c r="E110" s="71">
        <f>294/5280</f>
        <v>5.568181818181818E-2</v>
      </c>
      <c r="F110" s="25" t="s">
        <v>1872</v>
      </c>
      <c r="G110" s="25" t="s">
        <v>1983</v>
      </c>
      <c r="H110" s="25" t="s">
        <v>1978</v>
      </c>
    </row>
    <row r="111" spans="1:8" s="25" customFormat="1" x14ac:dyDescent="0.25">
      <c r="A111" s="25" t="s">
        <v>1580</v>
      </c>
      <c r="B111" s="23" t="s">
        <v>1610</v>
      </c>
      <c r="C111" s="25" t="s">
        <v>1607</v>
      </c>
      <c r="D111" s="23" t="s">
        <v>1611</v>
      </c>
      <c r="E111" s="71">
        <f>40879/5280</f>
        <v>7.7422348484848484</v>
      </c>
      <c r="F111" s="23" t="s">
        <v>274</v>
      </c>
      <c r="G111" s="4" t="s">
        <v>1985</v>
      </c>
      <c r="H111" s="25" t="s">
        <v>1648</v>
      </c>
    </row>
    <row r="112" spans="1:8" s="25" customFormat="1" x14ac:dyDescent="0.25">
      <c r="A112" s="25" t="s">
        <v>1580</v>
      </c>
      <c r="B112" s="23" t="s">
        <v>1612</v>
      </c>
      <c r="C112" s="25" t="s">
        <v>1607</v>
      </c>
      <c r="D112" s="25" t="s">
        <v>1613</v>
      </c>
      <c r="E112" s="71">
        <f>7747/5280</f>
        <v>1.4672348484848485</v>
      </c>
      <c r="F112" s="25" t="s">
        <v>9</v>
      </c>
      <c r="G112" s="25" t="s">
        <v>2388</v>
      </c>
      <c r="H112" s="25" t="s">
        <v>1633</v>
      </c>
    </row>
    <row r="113" spans="1:8" s="25" customFormat="1" x14ac:dyDescent="0.25">
      <c r="A113" s="25" t="s">
        <v>1580</v>
      </c>
      <c r="B113" s="23" t="s">
        <v>1986</v>
      </c>
      <c r="C113" s="25" t="s">
        <v>1607</v>
      </c>
      <c r="D113" s="25" t="s">
        <v>1613</v>
      </c>
      <c r="E113" s="71">
        <f>91/5280</f>
        <v>1.7234848484848485E-2</v>
      </c>
      <c r="F113" s="25" t="s">
        <v>1872</v>
      </c>
      <c r="G113" s="25" t="s">
        <v>1714</v>
      </c>
      <c r="H113" s="25" t="s">
        <v>1978</v>
      </c>
    </row>
    <row r="114" spans="1:8" s="25" customFormat="1" x14ac:dyDescent="0.25">
      <c r="A114" s="25" t="s">
        <v>1580</v>
      </c>
      <c r="B114" s="23" t="s">
        <v>1973</v>
      </c>
      <c r="C114" s="25" t="s">
        <v>1607</v>
      </c>
      <c r="D114" s="25" t="s">
        <v>1613</v>
      </c>
      <c r="E114" s="71">
        <f>108/5280</f>
        <v>2.0454545454545454E-2</v>
      </c>
      <c r="F114" s="25" t="s">
        <v>1872</v>
      </c>
      <c r="G114" s="25" t="s">
        <v>1714</v>
      </c>
      <c r="H114" s="25" t="s">
        <v>1978</v>
      </c>
    </row>
    <row r="115" spans="1:8" s="25" customFormat="1" x14ac:dyDescent="0.25">
      <c r="A115" s="25" t="s">
        <v>1580</v>
      </c>
      <c r="B115" s="23" t="s">
        <v>1987</v>
      </c>
      <c r="C115" s="25" t="s">
        <v>1607</v>
      </c>
      <c r="D115" s="25" t="s">
        <v>1613</v>
      </c>
      <c r="E115" s="71">
        <f>60/5280</f>
        <v>1.1363636363636364E-2</v>
      </c>
      <c r="F115" s="25" t="s">
        <v>1872</v>
      </c>
      <c r="G115" s="25" t="s">
        <v>1714</v>
      </c>
      <c r="H115" s="25" t="s">
        <v>1978</v>
      </c>
    </row>
    <row r="116" spans="1:8" s="25" customFormat="1" x14ac:dyDescent="0.25">
      <c r="A116" s="25" t="s">
        <v>1580</v>
      </c>
      <c r="B116" s="23" t="s">
        <v>1988</v>
      </c>
      <c r="C116" s="25" t="s">
        <v>1607</v>
      </c>
      <c r="D116" s="25" t="s">
        <v>1613</v>
      </c>
      <c r="E116" s="71">
        <f>57/5280</f>
        <v>1.0795454545454546E-2</v>
      </c>
      <c r="F116" s="25" t="s">
        <v>1872</v>
      </c>
      <c r="G116" s="25" t="s">
        <v>1714</v>
      </c>
      <c r="H116" s="25" t="s">
        <v>1978</v>
      </c>
    </row>
    <row r="117" spans="1:8" s="25" customFormat="1" x14ac:dyDescent="0.25">
      <c r="A117" s="25" t="s">
        <v>1580</v>
      </c>
      <c r="B117" s="23" t="s">
        <v>1989</v>
      </c>
      <c r="C117" s="25" t="s">
        <v>1607</v>
      </c>
      <c r="D117" s="25" t="s">
        <v>1613</v>
      </c>
      <c r="E117" s="71">
        <f>91/5280</f>
        <v>1.7234848484848485E-2</v>
      </c>
      <c r="F117" s="25" t="s">
        <v>1872</v>
      </c>
      <c r="G117" s="25" t="s">
        <v>1714</v>
      </c>
      <c r="H117" s="25" t="s">
        <v>1978</v>
      </c>
    </row>
    <row r="118" spans="1:8" s="25" customFormat="1" x14ac:dyDescent="0.25">
      <c r="A118" s="25" t="s">
        <v>1580</v>
      </c>
      <c r="B118" s="23" t="s">
        <v>1991</v>
      </c>
      <c r="C118" s="25" t="s">
        <v>1607</v>
      </c>
      <c r="D118" s="25" t="s">
        <v>1990</v>
      </c>
      <c r="E118" s="71">
        <f>1900/5280</f>
        <v>0.35984848484848486</v>
      </c>
      <c r="F118" s="25" t="s">
        <v>154</v>
      </c>
      <c r="G118" s="25" t="s">
        <v>1714</v>
      </c>
      <c r="H118" s="25" t="s">
        <v>1978</v>
      </c>
    </row>
    <row r="119" spans="1:8" s="25" customFormat="1" x14ac:dyDescent="0.25">
      <c r="A119" s="25" t="s">
        <v>1580</v>
      </c>
      <c r="B119" s="23" t="s">
        <v>1992</v>
      </c>
      <c r="C119" s="25" t="s">
        <v>1607</v>
      </c>
      <c r="D119" s="25" t="s">
        <v>1990</v>
      </c>
      <c r="E119" s="71">
        <f>65/5280</f>
        <v>1.231060606060606E-2</v>
      </c>
      <c r="F119" s="25" t="s">
        <v>1872</v>
      </c>
      <c r="G119" s="25" t="s">
        <v>1714</v>
      </c>
      <c r="H119" s="25" t="s">
        <v>1978</v>
      </c>
    </row>
    <row r="120" spans="1:8" s="25" customFormat="1" x14ac:dyDescent="0.25">
      <c r="A120" s="25" t="s">
        <v>1580</v>
      </c>
      <c r="B120" s="23" t="s">
        <v>1993</v>
      </c>
      <c r="C120" s="25" t="s">
        <v>1607</v>
      </c>
      <c r="D120" s="25" t="s">
        <v>1990</v>
      </c>
      <c r="E120" s="71">
        <f>94/5280</f>
        <v>1.7803030303030303E-2</v>
      </c>
      <c r="F120" s="25" t="s">
        <v>1872</v>
      </c>
      <c r="G120" s="25" t="s">
        <v>1714</v>
      </c>
      <c r="H120" s="25" t="s">
        <v>1978</v>
      </c>
    </row>
    <row r="121" spans="1:8" s="25" customFormat="1" x14ac:dyDescent="0.25">
      <c r="A121" s="25" t="s">
        <v>1580</v>
      </c>
      <c r="B121" s="23" t="s">
        <v>1994</v>
      </c>
      <c r="C121" s="25" t="s">
        <v>1607</v>
      </c>
      <c r="D121" s="25" t="s">
        <v>1990</v>
      </c>
      <c r="E121" s="71">
        <f>60/5280</f>
        <v>1.1363636363636364E-2</v>
      </c>
      <c r="F121" s="25" t="s">
        <v>1872</v>
      </c>
      <c r="G121" s="25" t="s">
        <v>1714</v>
      </c>
      <c r="H121" s="25" t="s">
        <v>1978</v>
      </c>
    </row>
    <row r="122" spans="1:8" s="25" customFormat="1" x14ac:dyDescent="0.25">
      <c r="A122" s="25" t="s">
        <v>1580</v>
      </c>
      <c r="B122" s="23" t="s">
        <v>1995</v>
      </c>
      <c r="C122" s="25" t="s">
        <v>1607</v>
      </c>
      <c r="D122" s="25" t="s">
        <v>1990</v>
      </c>
      <c r="E122" s="71">
        <f>66/5280</f>
        <v>1.2500000000000001E-2</v>
      </c>
      <c r="F122" s="25" t="s">
        <v>1872</v>
      </c>
      <c r="G122" s="25" t="s">
        <v>1714</v>
      </c>
      <c r="H122" s="25" t="s">
        <v>1978</v>
      </c>
    </row>
    <row r="123" spans="1:8" s="25" customFormat="1" x14ac:dyDescent="0.25">
      <c r="A123" s="25" t="s">
        <v>1580</v>
      </c>
      <c r="B123" s="23" t="s">
        <v>1996</v>
      </c>
      <c r="C123" s="25" t="s">
        <v>1607</v>
      </c>
      <c r="D123" s="25" t="s">
        <v>1990</v>
      </c>
      <c r="E123" s="71">
        <f>55/5280</f>
        <v>1.0416666666666666E-2</v>
      </c>
      <c r="F123" s="25" t="s">
        <v>1872</v>
      </c>
      <c r="G123" s="25" t="s">
        <v>1714</v>
      </c>
      <c r="H123" s="25" t="s">
        <v>1978</v>
      </c>
    </row>
    <row r="124" spans="1:8" s="25" customFormat="1" x14ac:dyDescent="0.25">
      <c r="A124" s="25" t="s">
        <v>1580</v>
      </c>
      <c r="B124" s="23" t="s">
        <v>1997</v>
      </c>
      <c r="C124" s="25" t="s">
        <v>1607</v>
      </c>
      <c r="D124" s="25" t="s">
        <v>1990</v>
      </c>
      <c r="E124" s="71">
        <f>68/5280</f>
        <v>1.2878787878787878E-2</v>
      </c>
      <c r="F124" s="25" t="s">
        <v>1872</v>
      </c>
      <c r="G124" s="25" t="s">
        <v>1714</v>
      </c>
      <c r="H124" s="25" t="s">
        <v>1978</v>
      </c>
    </row>
    <row r="125" spans="1:8" s="25" customFormat="1" x14ac:dyDescent="0.25">
      <c r="A125" s="25" t="s">
        <v>1580</v>
      </c>
      <c r="B125" s="23" t="s">
        <v>1614</v>
      </c>
      <c r="C125" s="25" t="s">
        <v>1607</v>
      </c>
      <c r="D125" s="25" t="s">
        <v>1594</v>
      </c>
      <c r="E125" s="71">
        <f>(1418+11288)/5280</f>
        <v>2.4064393939393938</v>
      </c>
      <c r="F125" s="25" t="s">
        <v>15</v>
      </c>
      <c r="G125" s="25" t="s">
        <v>1998</v>
      </c>
      <c r="H125" s="25" t="s">
        <v>1615</v>
      </c>
    </row>
    <row r="126" spans="1:8" s="25" customFormat="1" x14ac:dyDescent="0.25">
      <c r="A126" s="25" t="s">
        <v>1580</v>
      </c>
      <c r="B126" s="23" t="s">
        <v>1999</v>
      </c>
      <c r="C126" s="25" t="s">
        <v>2000</v>
      </c>
      <c r="D126" s="25" t="s">
        <v>2001</v>
      </c>
      <c r="E126" s="71">
        <f>6729/5280</f>
        <v>1.2744318181818182</v>
      </c>
      <c r="F126" s="25" t="s">
        <v>2002</v>
      </c>
      <c r="G126" s="25" t="s">
        <v>132</v>
      </c>
      <c r="H126" s="25" t="s">
        <v>2003</v>
      </c>
    </row>
    <row r="127" spans="1:8" s="25" customFormat="1" x14ac:dyDescent="0.25">
      <c r="A127" s="25" t="s">
        <v>1580</v>
      </c>
      <c r="B127" s="23" t="s">
        <v>2004</v>
      </c>
      <c r="C127" s="23" t="s">
        <v>1616</v>
      </c>
      <c r="D127" s="25" t="s">
        <v>1594</v>
      </c>
      <c r="E127" s="71">
        <f>21863/5280</f>
        <v>4.1407196969696969</v>
      </c>
      <c r="F127" s="25" t="s">
        <v>13</v>
      </c>
      <c r="G127" s="40" t="s">
        <v>2061</v>
      </c>
      <c r="H127" s="25" t="s">
        <v>2005</v>
      </c>
    </row>
    <row r="128" spans="1:8" s="25" customFormat="1" x14ac:dyDescent="0.25">
      <c r="A128" s="25" t="s">
        <v>1580</v>
      </c>
      <c r="B128" s="23" t="s">
        <v>1617</v>
      </c>
      <c r="C128" s="25" t="s">
        <v>1618</v>
      </c>
      <c r="D128" s="25" t="s">
        <v>1594</v>
      </c>
      <c r="E128" s="71">
        <f>1293/5280</f>
        <v>0.24488636363636362</v>
      </c>
      <c r="F128" s="25" t="s">
        <v>13</v>
      </c>
      <c r="G128" s="40" t="s">
        <v>2389</v>
      </c>
      <c r="H128" s="25" t="s">
        <v>2005</v>
      </c>
    </row>
    <row r="129" spans="1:8" s="25" customFormat="1" x14ac:dyDescent="0.25">
      <c r="A129" s="25" t="s">
        <v>1580</v>
      </c>
      <c r="B129" s="23" t="s">
        <v>2008</v>
      </c>
      <c r="C129" s="25" t="s">
        <v>1618</v>
      </c>
      <c r="D129" s="25" t="s">
        <v>2007</v>
      </c>
      <c r="E129" s="71">
        <f>615/5280</f>
        <v>0.11647727272727272</v>
      </c>
      <c r="F129" s="25" t="s">
        <v>232</v>
      </c>
      <c r="G129" s="40" t="s">
        <v>1714</v>
      </c>
      <c r="H129" s="25" t="s">
        <v>2006</v>
      </c>
    </row>
    <row r="130" spans="1:8" s="25" customFormat="1" x14ac:dyDescent="0.25">
      <c r="A130" s="25" t="s">
        <v>1580</v>
      </c>
      <c r="B130" s="23" t="s">
        <v>2010</v>
      </c>
      <c r="C130" s="25" t="s">
        <v>1618</v>
      </c>
      <c r="D130" s="25" t="s">
        <v>2009</v>
      </c>
      <c r="E130" s="71">
        <f>394/5280</f>
        <v>7.4621212121212116E-2</v>
      </c>
      <c r="F130" s="25" t="s">
        <v>154</v>
      </c>
      <c r="G130" s="40" t="s">
        <v>1714</v>
      </c>
      <c r="H130" s="25" t="s">
        <v>2006</v>
      </c>
    </row>
    <row r="131" spans="1:8" s="25" customFormat="1" x14ac:dyDescent="0.25">
      <c r="A131" s="25" t="s">
        <v>1580</v>
      </c>
      <c r="B131" s="23" t="s">
        <v>2011</v>
      </c>
      <c r="C131" s="25" t="s">
        <v>1618</v>
      </c>
      <c r="D131" s="25" t="s">
        <v>2009</v>
      </c>
      <c r="E131" s="71">
        <f>213/5280</f>
        <v>4.0340909090909094E-2</v>
      </c>
      <c r="F131" s="25" t="s">
        <v>2012</v>
      </c>
      <c r="G131" s="40" t="s">
        <v>2013</v>
      </c>
      <c r="H131" s="25" t="s">
        <v>2006</v>
      </c>
    </row>
    <row r="132" spans="1:8" s="25" customFormat="1" x14ac:dyDescent="0.25">
      <c r="A132" s="25" t="s">
        <v>1580</v>
      </c>
      <c r="B132" s="23" t="s">
        <v>2014</v>
      </c>
      <c r="C132" s="25" t="s">
        <v>1618</v>
      </c>
      <c r="D132" s="25" t="s">
        <v>2009</v>
      </c>
      <c r="E132" s="71">
        <f>103/5280</f>
        <v>1.9507575757575758E-2</v>
      </c>
      <c r="F132" s="25" t="s">
        <v>154</v>
      </c>
      <c r="G132" s="40" t="s">
        <v>1714</v>
      </c>
      <c r="H132" s="25" t="s">
        <v>2006</v>
      </c>
    </row>
    <row r="133" spans="1:8" s="25" customFormat="1" x14ac:dyDescent="0.25">
      <c r="A133" s="25" t="s">
        <v>1580</v>
      </c>
      <c r="B133" s="23" t="s">
        <v>2015</v>
      </c>
      <c r="C133" s="25" t="s">
        <v>1618</v>
      </c>
      <c r="D133" s="25" t="s">
        <v>2009</v>
      </c>
      <c r="E133" s="71">
        <f>59/5280</f>
        <v>1.1174242424242425E-2</v>
      </c>
      <c r="F133" s="25" t="s">
        <v>1872</v>
      </c>
      <c r="G133" s="40" t="s">
        <v>1714</v>
      </c>
      <c r="H133" s="25" t="s">
        <v>2006</v>
      </c>
    </row>
    <row r="134" spans="1:8" s="25" customFormat="1" x14ac:dyDescent="0.25">
      <c r="A134" s="25" t="s">
        <v>1580</v>
      </c>
      <c r="B134" s="23" t="s">
        <v>2016</v>
      </c>
      <c r="C134" s="25" t="s">
        <v>1618</v>
      </c>
      <c r="D134" s="25" t="s">
        <v>2009</v>
      </c>
      <c r="E134" s="71">
        <f>53/5280</f>
        <v>1.0037878787878788E-2</v>
      </c>
      <c r="F134" s="25" t="s">
        <v>1872</v>
      </c>
      <c r="G134" s="40" t="s">
        <v>1714</v>
      </c>
      <c r="H134" s="25" t="s">
        <v>2006</v>
      </c>
    </row>
    <row r="135" spans="1:8" s="25" customFormat="1" x14ac:dyDescent="0.25">
      <c r="A135" s="25" t="s">
        <v>1580</v>
      </c>
      <c r="B135" s="23" t="s">
        <v>2017</v>
      </c>
      <c r="C135" s="25" t="s">
        <v>1618</v>
      </c>
      <c r="D135" s="25" t="s">
        <v>2009</v>
      </c>
      <c r="E135" s="71">
        <f>53/5280</f>
        <v>1.0037878787878788E-2</v>
      </c>
      <c r="F135" s="25" t="s">
        <v>1872</v>
      </c>
      <c r="G135" s="40" t="s">
        <v>1714</v>
      </c>
      <c r="H135" s="25" t="s">
        <v>2006</v>
      </c>
    </row>
    <row r="136" spans="1:8" s="25" customFormat="1" x14ac:dyDescent="0.25">
      <c r="A136" s="25" t="s">
        <v>1580</v>
      </c>
      <c r="B136" s="23" t="s">
        <v>2018</v>
      </c>
      <c r="C136" s="25" t="s">
        <v>1618</v>
      </c>
      <c r="D136" s="25" t="s">
        <v>2009</v>
      </c>
      <c r="E136" s="71">
        <f>224/5280</f>
        <v>4.2424242424242427E-2</v>
      </c>
      <c r="F136" s="25" t="s">
        <v>154</v>
      </c>
      <c r="G136" s="40" t="s">
        <v>1714</v>
      </c>
      <c r="H136" s="25" t="s">
        <v>2006</v>
      </c>
    </row>
    <row r="137" spans="1:8" s="25" customFormat="1" x14ac:dyDescent="0.25">
      <c r="A137" s="25" t="s">
        <v>1580</v>
      </c>
      <c r="B137" s="23" t="s">
        <v>2019</v>
      </c>
      <c r="C137" s="25" t="s">
        <v>1618</v>
      </c>
      <c r="D137" s="25" t="s">
        <v>2009</v>
      </c>
      <c r="E137" s="71">
        <f>55/5280</f>
        <v>1.0416666666666666E-2</v>
      </c>
      <c r="F137" s="25" t="s">
        <v>1872</v>
      </c>
      <c r="G137" s="40" t="s">
        <v>1714</v>
      </c>
      <c r="H137" s="25" t="s">
        <v>2006</v>
      </c>
    </row>
    <row r="138" spans="1:8" s="25" customFormat="1" x14ac:dyDescent="0.25">
      <c r="A138" s="25" t="s">
        <v>1580</v>
      </c>
      <c r="B138" s="23" t="s">
        <v>2020</v>
      </c>
      <c r="C138" s="25" t="s">
        <v>1618</v>
      </c>
      <c r="D138" s="25" t="s">
        <v>2009</v>
      </c>
      <c r="E138" s="71">
        <f>46/5280</f>
        <v>8.7121212121212127E-3</v>
      </c>
      <c r="F138" s="25" t="s">
        <v>1872</v>
      </c>
      <c r="G138" s="40" t="s">
        <v>1714</v>
      </c>
      <c r="H138" s="25" t="s">
        <v>2006</v>
      </c>
    </row>
    <row r="139" spans="1:8" s="25" customFormat="1" x14ac:dyDescent="0.25">
      <c r="A139" s="25" t="s">
        <v>1580</v>
      </c>
      <c r="B139" s="23" t="s">
        <v>2021</v>
      </c>
      <c r="C139" s="25" t="s">
        <v>1618</v>
      </c>
      <c r="D139" s="25" t="s">
        <v>2009</v>
      </c>
      <c r="E139" s="71">
        <f>99/5280</f>
        <v>1.8749999999999999E-2</v>
      </c>
      <c r="F139" s="25" t="s">
        <v>1872</v>
      </c>
      <c r="G139" s="40" t="s">
        <v>1714</v>
      </c>
      <c r="H139" s="25" t="s">
        <v>2006</v>
      </c>
    </row>
    <row r="140" spans="1:8" s="25" customFormat="1" x14ac:dyDescent="0.25">
      <c r="A140" s="25" t="s">
        <v>1580</v>
      </c>
      <c r="B140" s="23" t="s">
        <v>2022</v>
      </c>
      <c r="C140" s="25" t="s">
        <v>1618</v>
      </c>
      <c r="D140" s="25" t="s">
        <v>2009</v>
      </c>
      <c r="E140" s="71">
        <f>52/5280</f>
        <v>9.8484848484848477E-3</v>
      </c>
      <c r="F140" s="25" t="s">
        <v>1872</v>
      </c>
      <c r="G140" s="40" t="s">
        <v>1714</v>
      </c>
      <c r="H140" s="25" t="s">
        <v>2006</v>
      </c>
    </row>
    <row r="141" spans="1:8" s="25" customFormat="1" x14ac:dyDescent="0.25">
      <c r="A141" s="25" t="s">
        <v>1580</v>
      </c>
      <c r="B141" s="23" t="s">
        <v>2023</v>
      </c>
      <c r="C141" s="25" t="s">
        <v>1618</v>
      </c>
      <c r="D141" s="25" t="s">
        <v>2009</v>
      </c>
      <c r="E141" s="71">
        <f>52/5280</f>
        <v>9.8484848484848477E-3</v>
      </c>
      <c r="F141" s="25" t="s">
        <v>1872</v>
      </c>
      <c r="G141" s="40" t="s">
        <v>1714</v>
      </c>
      <c r="H141" s="25" t="s">
        <v>2006</v>
      </c>
    </row>
    <row r="142" spans="1:8" s="25" customFormat="1" x14ac:dyDescent="0.25">
      <c r="A142" s="25" t="s">
        <v>1580</v>
      </c>
      <c r="B142" s="23" t="s">
        <v>2024</v>
      </c>
      <c r="C142" s="25" t="s">
        <v>1618</v>
      </c>
      <c r="D142" s="25" t="s">
        <v>2009</v>
      </c>
      <c r="E142" s="71">
        <f>52/5280</f>
        <v>9.8484848484848477E-3</v>
      </c>
      <c r="F142" s="25" t="s">
        <v>1872</v>
      </c>
      <c r="G142" s="40" t="s">
        <v>1714</v>
      </c>
      <c r="H142" s="25" t="s">
        <v>2006</v>
      </c>
    </row>
    <row r="143" spans="1:8" s="25" customFormat="1" x14ac:dyDescent="0.25">
      <c r="A143" s="25" t="s">
        <v>1580</v>
      </c>
      <c r="B143" s="23" t="s">
        <v>2025</v>
      </c>
      <c r="C143" s="25" t="s">
        <v>1618</v>
      </c>
      <c r="D143" s="25" t="s">
        <v>2009</v>
      </c>
      <c r="E143" s="71">
        <f>57/5280</f>
        <v>1.0795454545454546E-2</v>
      </c>
      <c r="F143" s="25" t="s">
        <v>1872</v>
      </c>
      <c r="G143" s="40" t="s">
        <v>1714</v>
      </c>
      <c r="H143" s="25" t="s">
        <v>2006</v>
      </c>
    </row>
    <row r="144" spans="1:8" s="25" customFormat="1" x14ac:dyDescent="0.25">
      <c r="A144" s="25" t="s">
        <v>1580</v>
      </c>
      <c r="B144" s="23" t="s">
        <v>2026</v>
      </c>
      <c r="C144" s="25" t="s">
        <v>1618</v>
      </c>
      <c r="D144" s="25" t="s">
        <v>2009</v>
      </c>
      <c r="E144" s="71">
        <f>55/5280</f>
        <v>1.0416666666666666E-2</v>
      </c>
      <c r="F144" s="25" t="s">
        <v>1872</v>
      </c>
      <c r="G144" s="40" t="s">
        <v>1714</v>
      </c>
      <c r="H144" s="25" t="s">
        <v>2006</v>
      </c>
    </row>
    <row r="145" spans="1:8" s="25" customFormat="1" x14ac:dyDescent="0.25">
      <c r="A145" s="25" t="s">
        <v>1580</v>
      </c>
      <c r="B145" s="23" t="s">
        <v>2027</v>
      </c>
      <c r="C145" s="25" t="s">
        <v>1618</v>
      </c>
      <c r="D145" s="25" t="s">
        <v>2009</v>
      </c>
      <c r="E145" s="71">
        <f>47/5280</f>
        <v>8.9015151515151516E-3</v>
      </c>
      <c r="F145" s="25" t="s">
        <v>1872</v>
      </c>
      <c r="G145" s="40" t="s">
        <v>1714</v>
      </c>
      <c r="H145" s="25" t="s">
        <v>2006</v>
      </c>
    </row>
    <row r="146" spans="1:8" s="25" customFormat="1" x14ac:dyDescent="0.25">
      <c r="A146" s="25" t="s">
        <v>1580</v>
      </c>
      <c r="B146" s="23" t="s">
        <v>2028</v>
      </c>
      <c r="C146" s="25" t="s">
        <v>1618</v>
      </c>
      <c r="D146" s="25" t="s">
        <v>2009</v>
      </c>
      <c r="E146" s="71">
        <f>57/5280</f>
        <v>1.0795454545454546E-2</v>
      </c>
      <c r="F146" s="25" t="s">
        <v>1872</v>
      </c>
      <c r="G146" s="40" t="s">
        <v>1714</v>
      </c>
      <c r="H146" s="25" t="s">
        <v>2006</v>
      </c>
    </row>
    <row r="147" spans="1:8" s="25" customFormat="1" x14ac:dyDescent="0.25">
      <c r="A147" s="25" t="s">
        <v>1580</v>
      </c>
      <c r="B147" s="23" t="s">
        <v>2029</v>
      </c>
      <c r="C147" s="25" t="s">
        <v>1618</v>
      </c>
      <c r="D147" s="25" t="s">
        <v>2009</v>
      </c>
      <c r="E147" s="71">
        <f>43/5280</f>
        <v>8.1439393939393943E-3</v>
      </c>
      <c r="F147" s="25" t="s">
        <v>1872</v>
      </c>
      <c r="G147" s="40" t="s">
        <v>1714</v>
      </c>
      <c r="H147" s="25" t="s">
        <v>2006</v>
      </c>
    </row>
    <row r="148" spans="1:8" s="25" customFormat="1" x14ac:dyDescent="0.25">
      <c r="A148" s="25" t="s">
        <v>1580</v>
      </c>
      <c r="B148" s="23" t="s">
        <v>2030</v>
      </c>
      <c r="C148" s="25" t="s">
        <v>1618</v>
      </c>
      <c r="D148" s="25" t="s">
        <v>2009</v>
      </c>
      <c r="E148" s="71">
        <f>52/5280</f>
        <v>9.8484848484848477E-3</v>
      </c>
      <c r="F148" s="25" t="s">
        <v>1872</v>
      </c>
      <c r="G148" s="40" t="s">
        <v>1714</v>
      </c>
      <c r="H148" s="25" t="s">
        <v>2006</v>
      </c>
    </row>
    <row r="149" spans="1:8" s="25" customFormat="1" x14ac:dyDescent="0.25">
      <c r="A149" s="25" t="s">
        <v>1580</v>
      </c>
      <c r="B149" s="23" t="s">
        <v>2031</v>
      </c>
      <c r="C149" s="25" t="s">
        <v>1618</v>
      </c>
      <c r="D149" s="25" t="s">
        <v>2009</v>
      </c>
      <c r="E149" s="71">
        <f>50/5280</f>
        <v>9.46969696969697E-3</v>
      </c>
      <c r="F149" s="25" t="s">
        <v>1872</v>
      </c>
      <c r="G149" s="40" t="s">
        <v>1714</v>
      </c>
      <c r="H149" s="25" t="s">
        <v>2006</v>
      </c>
    </row>
    <row r="150" spans="1:8" s="25" customFormat="1" x14ac:dyDescent="0.25">
      <c r="A150" s="25" t="s">
        <v>1580</v>
      </c>
      <c r="B150" s="23" t="s">
        <v>2032</v>
      </c>
      <c r="C150" s="25" t="s">
        <v>1618</v>
      </c>
      <c r="D150" s="25" t="s">
        <v>2009</v>
      </c>
      <c r="E150" s="71">
        <f>60/5280</f>
        <v>1.1363636363636364E-2</v>
      </c>
      <c r="F150" s="25" t="s">
        <v>1872</v>
      </c>
      <c r="G150" s="40" t="s">
        <v>1714</v>
      </c>
      <c r="H150" s="25" t="s">
        <v>2006</v>
      </c>
    </row>
    <row r="151" spans="1:8" s="25" customFormat="1" x14ac:dyDescent="0.25">
      <c r="A151" s="25" t="s">
        <v>1580</v>
      </c>
      <c r="B151" s="23" t="s">
        <v>2033</v>
      </c>
      <c r="C151" s="25" t="s">
        <v>1618</v>
      </c>
      <c r="D151" s="25" t="s">
        <v>2009</v>
      </c>
      <c r="E151" s="71">
        <f>3382/5280</f>
        <v>0.64053030303030301</v>
      </c>
      <c r="F151" s="25" t="s">
        <v>154</v>
      </c>
      <c r="G151" s="40" t="s">
        <v>2034</v>
      </c>
      <c r="H151" s="25" t="s">
        <v>2006</v>
      </c>
    </row>
    <row r="152" spans="1:8" s="25" customFormat="1" x14ac:dyDescent="0.25">
      <c r="A152" s="25" t="s">
        <v>1580</v>
      </c>
      <c r="B152" s="23" t="s">
        <v>2036</v>
      </c>
      <c r="C152" s="25" t="s">
        <v>1618</v>
      </c>
      <c r="D152" s="25" t="s">
        <v>2035</v>
      </c>
      <c r="E152" s="71">
        <f>47/5280</f>
        <v>8.9015151515151516E-3</v>
      </c>
      <c r="F152" s="25" t="s">
        <v>1872</v>
      </c>
      <c r="G152" s="40" t="s">
        <v>1714</v>
      </c>
      <c r="H152" s="25" t="s">
        <v>2006</v>
      </c>
    </row>
    <row r="153" spans="1:8" s="25" customFormat="1" x14ac:dyDescent="0.25">
      <c r="A153" s="25" t="s">
        <v>1580</v>
      </c>
      <c r="B153" s="23" t="s">
        <v>2037</v>
      </c>
      <c r="C153" s="25" t="s">
        <v>1618</v>
      </c>
      <c r="D153" s="25" t="s">
        <v>2035</v>
      </c>
      <c r="E153" s="71">
        <f>279/5280</f>
        <v>5.2840909090909091E-2</v>
      </c>
      <c r="F153" s="25" t="s">
        <v>1872</v>
      </c>
      <c r="G153" s="40" t="s">
        <v>1714</v>
      </c>
      <c r="H153" s="25" t="s">
        <v>2006</v>
      </c>
    </row>
    <row r="154" spans="1:8" s="25" customFormat="1" x14ac:dyDescent="0.25">
      <c r="A154" s="25" t="s">
        <v>1580</v>
      </c>
      <c r="B154" s="23" t="s">
        <v>2038</v>
      </c>
      <c r="C154" s="25" t="s">
        <v>1618</v>
      </c>
      <c r="D154" s="25" t="s">
        <v>2035</v>
      </c>
      <c r="E154" s="71">
        <f>54/5280</f>
        <v>1.0227272727272727E-2</v>
      </c>
      <c r="F154" s="25" t="s">
        <v>1872</v>
      </c>
      <c r="G154" s="40" t="s">
        <v>1714</v>
      </c>
      <c r="H154" s="25" t="s">
        <v>2006</v>
      </c>
    </row>
    <row r="155" spans="1:8" s="25" customFormat="1" x14ac:dyDescent="0.25">
      <c r="A155" s="25" t="s">
        <v>1580</v>
      </c>
      <c r="B155" s="23" t="s">
        <v>2039</v>
      </c>
      <c r="C155" s="25" t="s">
        <v>1618</v>
      </c>
      <c r="D155" s="25" t="s">
        <v>2035</v>
      </c>
      <c r="E155" s="71">
        <f>74/5280</f>
        <v>1.4015151515151515E-2</v>
      </c>
      <c r="F155" s="25" t="s">
        <v>1872</v>
      </c>
      <c r="G155" s="40" t="s">
        <v>1714</v>
      </c>
      <c r="H155" s="25" t="s">
        <v>2006</v>
      </c>
    </row>
    <row r="156" spans="1:8" s="25" customFormat="1" x14ac:dyDescent="0.25">
      <c r="A156" s="25" t="s">
        <v>1580</v>
      </c>
      <c r="B156" s="23" t="s">
        <v>2040</v>
      </c>
      <c r="C156" s="25" t="s">
        <v>1618</v>
      </c>
      <c r="D156" s="25" t="s">
        <v>2035</v>
      </c>
      <c r="E156" s="71">
        <f>69/5280</f>
        <v>1.3068181818181817E-2</v>
      </c>
      <c r="F156" s="25" t="s">
        <v>1872</v>
      </c>
      <c r="G156" s="40" t="s">
        <v>1714</v>
      </c>
      <c r="H156" s="25" t="s">
        <v>2006</v>
      </c>
    </row>
    <row r="157" spans="1:8" s="25" customFormat="1" x14ac:dyDescent="0.25">
      <c r="A157" s="25" t="s">
        <v>1580</v>
      </c>
      <c r="B157" s="23" t="s">
        <v>2042</v>
      </c>
      <c r="C157" s="25" t="s">
        <v>1618</v>
      </c>
      <c r="D157" s="25" t="s">
        <v>2041</v>
      </c>
      <c r="E157" s="71">
        <f>1601/5280</f>
        <v>0.30321969696969697</v>
      </c>
      <c r="F157" s="25" t="s">
        <v>13</v>
      </c>
      <c r="G157" s="40" t="s">
        <v>2043</v>
      </c>
      <c r="H157" s="25" t="s">
        <v>2006</v>
      </c>
    </row>
    <row r="158" spans="1:8" s="25" customFormat="1" x14ac:dyDescent="0.25">
      <c r="A158" s="25" t="s">
        <v>1580</v>
      </c>
      <c r="B158" s="23" t="s">
        <v>2045</v>
      </c>
      <c r="C158" s="25" t="s">
        <v>1618</v>
      </c>
      <c r="D158" s="25" t="s">
        <v>2044</v>
      </c>
      <c r="E158" s="71">
        <f>45/5280</f>
        <v>8.5227272727272721E-3</v>
      </c>
      <c r="F158" s="25" t="s">
        <v>1872</v>
      </c>
      <c r="G158" s="40" t="s">
        <v>1714</v>
      </c>
      <c r="H158" s="25" t="s">
        <v>2006</v>
      </c>
    </row>
    <row r="159" spans="1:8" s="25" customFormat="1" x14ac:dyDescent="0.25">
      <c r="A159" s="25" t="s">
        <v>1580</v>
      </c>
      <c r="B159" s="23" t="s">
        <v>2046</v>
      </c>
      <c r="C159" s="25" t="s">
        <v>1618</v>
      </c>
      <c r="D159" s="25" t="s">
        <v>2044</v>
      </c>
      <c r="E159" s="71">
        <f>47/5280</f>
        <v>8.9015151515151516E-3</v>
      </c>
      <c r="F159" s="25" t="s">
        <v>1872</v>
      </c>
      <c r="G159" s="40" t="s">
        <v>1714</v>
      </c>
      <c r="H159" s="25" t="s">
        <v>2006</v>
      </c>
    </row>
    <row r="160" spans="1:8" s="25" customFormat="1" x14ac:dyDescent="0.25">
      <c r="A160" s="25" t="s">
        <v>1580</v>
      </c>
      <c r="B160" s="23" t="s">
        <v>2047</v>
      </c>
      <c r="C160" s="25" t="s">
        <v>1618</v>
      </c>
      <c r="D160" s="25" t="s">
        <v>2044</v>
      </c>
      <c r="E160" s="71">
        <f>54/5280</f>
        <v>1.0227272727272727E-2</v>
      </c>
      <c r="F160" s="25" t="s">
        <v>1872</v>
      </c>
      <c r="G160" s="40" t="s">
        <v>1714</v>
      </c>
      <c r="H160" s="25" t="s">
        <v>2006</v>
      </c>
    </row>
    <row r="161" spans="1:8" s="25" customFormat="1" x14ac:dyDescent="0.25">
      <c r="A161" s="25" t="s">
        <v>1580</v>
      </c>
      <c r="B161" s="23" t="s">
        <v>2048</v>
      </c>
      <c r="C161" s="25" t="s">
        <v>1618</v>
      </c>
      <c r="D161" s="25" t="s">
        <v>2044</v>
      </c>
      <c r="E161" s="71">
        <f>57/5280</f>
        <v>1.0795454545454546E-2</v>
      </c>
      <c r="F161" s="25" t="s">
        <v>1872</v>
      </c>
      <c r="G161" s="40" t="s">
        <v>1714</v>
      </c>
      <c r="H161" s="25" t="s">
        <v>2006</v>
      </c>
    </row>
    <row r="162" spans="1:8" s="25" customFormat="1" x14ac:dyDescent="0.25">
      <c r="A162" s="25" t="s">
        <v>1580</v>
      </c>
      <c r="B162" s="23" t="s">
        <v>2049</v>
      </c>
      <c r="C162" s="25" t="s">
        <v>1618</v>
      </c>
      <c r="D162" s="25" t="s">
        <v>2044</v>
      </c>
      <c r="E162" s="71">
        <f>54/5280</f>
        <v>1.0227272727272727E-2</v>
      </c>
      <c r="F162" s="25" t="s">
        <v>1872</v>
      </c>
      <c r="G162" s="40" t="s">
        <v>1714</v>
      </c>
      <c r="H162" s="25" t="s">
        <v>2006</v>
      </c>
    </row>
    <row r="163" spans="1:8" s="25" customFormat="1" x14ac:dyDescent="0.25">
      <c r="A163" s="25" t="s">
        <v>1580</v>
      </c>
      <c r="B163" s="23" t="s">
        <v>2050</v>
      </c>
      <c r="C163" s="25" t="s">
        <v>1618</v>
      </c>
      <c r="D163" s="25" t="s">
        <v>2044</v>
      </c>
      <c r="E163" s="71">
        <f>65/5280</f>
        <v>1.231060606060606E-2</v>
      </c>
      <c r="F163" s="25" t="s">
        <v>1872</v>
      </c>
      <c r="G163" s="40" t="s">
        <v>1714</v>
      </c>
      <c r="H163" s="25" t="s">
        <v>2006</v>
      </c>
    </row>
    <row r="164" spans="1:8" s="25" customFormat="1" x14ac:dyDescent="0.25">
      <c r="A164" s="25" t="s">
        <v>1580</v>
      </c>
      <c r="B164" s="23" t="s">
        <v>2051</v>
      </c>
      <c r="C164" s="25" t="s">
        <v>1618</v>
      </c>
      <c r="D164" s="25" t="s">
        <v>2044</v>
      </c>
      <c r="E164" s="71">
        <f>63/5280</f>
        <v>1.1931818181818182E-2</v>
      </c>
      <c r="F164" s="25" t="s">
        <v>1872</v>
      </c>
      <c r="G164" s="40" t="s">
        <v>1714</v>
      </c>
      <c r="H164" s="25" t="s">
        <v>2006</v>
      </c>
    </row>
    <row r="165" spans="1:8" s="25" customFormat="1" x14ac:dyDescent="0.25">
      <c r="A165" s="25" t="s">
        <v>1580</v>
      </c>
      <c r="B165" s="23" t="s">
        <v>2052</v>
      </c>
      <c r="C165" s="25" t="s">
        <v>1618</v>
      </c>
      <c r="D165" s="25" t="s">
        <v>2044</v>
      </c>
      <c r="E165" s="71">
        <f>58/5280</f>
        <v>1.0984848484848484E-2</v>
      </c>
      <c r="F165" s="25" t="s">
        <v>1872</v>
      </c>
      <c r="G165" s="40" t="s">
        <v>1714</v>
      </c>
      <c r="H165" s="25" t="s">
        <v>2006</v>
      </c>
    </row>
    <row r="166" spans="1:8" s="25" customFormat="1" x14ac:dyDescent="0.25">
      <c r="A166" s="25" t="s">
        <v>1580</v>
      </c>
      <c r="B166" s="23" t="s">
        <v>2053</v>
      </c>
      <c r="C166" s="25" t="s">
        <v>1618</v>
      </c>
      <c r="D166" s="25" t="s">
        <v>2054</v>
      </c>
      <c r="E166" s="71">
        <f>105/5280</f>
        <v>1.9886363636363636E-2</v>
      </c>
      <c r="F166" s="25" t="s">
        <v>1872</v>
      </c>
      <c r="G166" s="40" t="s">
        <v>2055</v>
      </c>
      <c r="H166" s="25" t="s">
        <v>2006</v>
      </c>
    </row>
    <row r="167" spans="1:8" s="25" customFormat="1" x14ac:dyDescent="0.25">
      <c r="A167" s="25" t="s">
        <v>1580</v>
      </c>
      <c r="B167" s="23" t="s">
        <v>2056</v>
      </c>
      <c r="C167" s="25" t="s">
        <v>1618</v>
      </c>
      <c r="D167" s="25" t="s">
        <v>1594</v>
      </c>
      <c r="E167" s="81">
        <f>4835/5280</f>
        <v>0.91571969696969702</v>
      </c>
      <c r="F167" s="25" t="s">
        <v>2057</v>
      </c>
      <c r="G167" s="25" t="s">
        <v>2062</v>
      </c>
      <c r="H167" s="25" t="s">
        <v>1619</v>
      </c>
    </row>
    <row r="168" spans="1:8" s="25" customFormat="1" x14ac:dyDescent="0.25">
      <c r="B168" s="23"/>
      <c r="E168" s="73"/>
    </row>
    <row r="169" spans="1:8" x14ac:dyDescent="0.25">
      <c r="D169" s="7" t="s">
        <v>11</v>
      </c>
      <c r="E169" s="87">
        <f>SUM(E2:E167)</f>
        <v>179.47026515151467</v>
      </c>
    </row>
    <row r="170" spans="1:8" x14ac:dyDescent="0.25">
      <c r="B170" s="86"/>
      <c r="E170" s="88">
        <f>E169/323</f>
        <v>0.55563549582512284</v>
      </c>
    </row>
    <row r="173" spans="1:8" x14ac:dyDescent="0.25">
      <c r="A173" s="66" t="s">
        <v>296</v>
      </c>
      <c r="B173" s="66" t="s">
        <v>2358</v>
      </c>
    </row>
    <row r="174" spans="1:8" x14ac:dyDescent="0.25">
      <c r="A174" s="25"/>
      <c r="B174" s="66" t="s">
        <v>2361</v>
      </c>
    </row>
    <row r="175" spans="1:8" x14ac:dyDescent="0.25">
      <c r="A175" s="25"/>
      <c r="B175" s="70" t="s">
        <v>2360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workbookViewId="0"/>
  </sheetViews>
  <sheetFormatPr defaultRowHeight="15" x14ac:dyDescent="0.25"/>
  <cols>
    <col min="1" max="1" width="12.42578125" customWidth="1"/>
    <col min="2" max="2" width="46.85546875" customWidth="1"/>
    <col min="3" max="3" width="14" customWidth="1"/>
    <col min="4" max="4" width="32" customWidth="1"/>
    <col min="5" max="5" width="15.7109375" style="23" customWidth="1"/>
    <col min="6" max="6" width="49" customWidth="1"/>
    <col min="7" max="7" width="36.140625" customWidth="1"/>
    <col min="8" max="8" width="30.85546875" customWidth="1"/>
  </cols>
  <sheetData>
    <row r="1" spans="1:8" s="1" customFormat="1" ht="60" x14ac:dyDescent="0.25">
      <c r="A1" s="1" t="s">
        <v>0</v>
      </c>
      <c r="B1" s="1" t="s">
        <v>1</v>
      </c>
      <c r="C1" s="1" t="s">
        <v>4</v>
      </c>
      <c r="D1" s="1" t="s">
        <v>2</v>
      </c>
      <c r="E1" s="79" t="s">
        <v>1579</v>
      </c>
      <c r="F1" s="1" t="s">
        <v>7</v>
      </c>
      <c r="G1" s="45" t="s">
        <v>10</v>
      </c>
      <c r="H1" s="1" t="s">
        <v>3</v>
      </c>
    </row>
    <row r="2" spans="1:8" s="18" customFormat="1" x14ac:dyDescent="0.25">
      <c r="A2" s="18" t="s">
        <v>196</v>
      </c>
      <c r="B2" s="53" t="s">
        <v>197</v>
      </c>
      <c r="C2" s="53" t="s">
        <v>198</v>
      </c>
      <c r="D2" s="53" t="s">
        <v>199</v>
      </c>
      <c r="E2" s="71">
        <f>(3473+2373)/5280</f>
        <v>1.1071969696969697</v>
      </c>
      <c r="F2" s="18" t="s">
        <v>9</v>
      </c>
      <c r="H2" s="18" t="s">
        <v>200</v>
      </c>
    </row>
    <row r="3" spans="1:8" s="53" customFormat="1" x14ac:dyDescent="0.25">
      <c r="A3" s="18" t="s">
        <v>196</v>
      </c>
      <c r="B3" s="53" t="s">
        <v>201</v>
      </c>
      <c r="C3" s="53" t="s">
        <v>198</v>
      </c>
      <c r="D3" s="53" t="s">
        <v>199</v>
      </c>
      <c r="E3" s="71">
        <f>(5258)/5280</f>
        <v>0.99583333333333335</v>
      </c>
      <c r="F3" s="53" t="s">
        <v>9</v>
      </c>
      <c r="G3" s="53" t="s">
        <v>1705</v>
      </c>
      <c r="H3" s="54" t="s">
        <v>202</v>
      </c>
    </row>
    <row r="4" spans="1:8" s="53" customFormat="1" x14ac:dyDescent="0.25">
      <c r="A4" s="18" t="s">
        <v>196</v>
      </c>
      <c r="B4" s="53" t="s">
        <v>203</v>
      </c>
      <c r="C4" s="53" t="s">
        <v>198</v>
      </c>
      <c r="D4" s="53" t="s">
        <v>204</v>
      </c>
      <c r="E4" s="71">
        <f>(8183)/5280</f>
        <v>1.5498106060606061</v>
      </c>
      <c r="F4" s="53" t="s">
        <v>13</v>
      </c>
      <c r="H4" s="53" t="s">
        <v>205</v>
      </c>
    </row>
    <row r="5" spans="1:8" s="53" customFormat="1" x14ac:dyDescent="0.25">
      <c r="A5" s="18" t="s">
        <v>196</v>
      </c>
      <c r="B5" s="53" t="s">
        <v>206</v>
      </c>
      <c r="C5" s="53" t="s">
        <v>198</v>
      </c>
      <c r="D5" s="53" t="s">
        <v>207</v>
      </c>
      <c r="E5" s="71">
        <f>562/5280</f>
        <v>0.10643939393939394</v>
      </c>
      <c r="F5" s="53" t="s">
        <v>208</v>
      </c>
      <c r="H5" s="18" t="s">
        <v>200</v>
      </c>
    </row>
    <row r="6" spans="1:8" s="53" customFormat="1" x14ac:dyDescent="0.25">
      <c r="A6" s="18" t="s">
        <v>196</v>
      </c>
      <c r="B6" s="53" t="s">
        <v>209</v>
      </c>
      <c r="C6" s="53" t="s">
        <v>210</v>
      </c>
      <c r="D6" s="53" t="s">
        <v>5</v>
      </c>
      <c r="E6" s="71">
        <f>970/5280</f>
        <v>0.18371212121212122</v>
      </c>
      <c r="F6" s="53" t="s">
        <v>8</v>
      </c>
      <c r="H6" s="18" t="s">
        <v>200</v>
      </c>
    </row>
    <row r="7" spans="1:8" s="53" customFormat="1" x14ac:dyDescent="0.25">
      <c r="A7" s="18" t="s">
        <v>196</v>
      </c>
      <c r="B7" s="53" t="s">
        <v>211</v>
      </c>
      <c r="C7" s="53" t="s">
        <v>210</v>
      </c>
      <c r="D7" s="53" t="s">
        <v>212</v>
      </c>
      <c r="E7" s="71">
        <f>1260/5280</f>
        <v>0.23863636363636365</v>
      </c>
      <c r="F7" s="53" t="s">
        <v>208</v>
      </c>
      <c r="G7" s="53" t="s">
        <v>213</v>
      </c>
      <c r="H7" s="18" t="s">
        <v>200</v>
      </c>
    </row>
    <row r="8" spans="1:8" s="53" customFormat="1" x14ac:dyDescent="0.25">
      <c r="A8" s="18" t="s">
        <v>196</v>
      </c>
      <c r="B8" s="53" t="s">
        <v>214</v>
      </c>
      <c r="C8" s="53" t="s">
        <v>210</v>
      </c>
      <c r="D8" s="53" t="s">
        <v>212</v>
      </c>
      <c r="E8" s="71">
        <f>654/5280</f>
        <v>0.12386363636363637</v>
      </c>
      <c r="F8" s="53" t="s">
        <v>208</v>
      </c>
      <c r="G8" s="53" t="s">
        <v>213</v>
      </c>
      <c r="H8" s="18" t="s">
        <v>200</v>
      </c>
    </row>
    <row r="9" spans="1:8" s="53" customFormat="1" x14ac:dyDescent="0.25">
      <c r="A9" s="18" t="s">
        <v>196</v>
      </c>
      <c r="B9" s="53" t="s">
        <v>215</v>
      </c>
      <c r="C9" s="53" t="s">
        <v>210</v>
      </c>
      <c r="D9" s="53" t="s">
        <v>212</v>
      </c>
      <c r="E9" s="71">
        <f>216/5280</f>
        <v>4.0909090909090909E-2</v>
      </c>
      <c r="F9" s="53" t="s">
        <v>208</v>
      </c>
      <c r="G9" s="53" t="s">
        <v>213</v>
      </c>
      <c r="H9" s="18" t="s">
        <v>200</v>
      </c>
    </row>
    <row r="10" spans="1:8" s="53" customFormat="1" x14ac:dyDescent="0.25">
      <c r="A10" s="18" t="s">
        <v>196</v>
      </c>
      <c r="B10" s="53" t="s">
        <v>216</v>
      </c>
      <c r="C10" s="53" t="s">
        <v>210</v>
      </c>
      <c r="D10" s="53" t="s">
        <v>212</v>
      </c>
      <c r="E10" s="71">
        <f>1284/5280</f>
        <v>0.24318181818181819</v>
      </c>
      <c r="F10" s="53" t="s">
        <v>208</v>
      </c>
      <c r="G10" s="53" t="s">
        <v>217</v>
      </c>
      <c r="H10" s="18" t="s">
        <v>200</v>
      </c>
    </row>
    <row r="11" spans="1:8" s="53" customFormat="1" x14ac:dyDescent="0.25">
      <c r="A11" s="18" t="s">
        <v>196</v>
      </c>
      <c r="B11" s="53" t="s">
        <v>218</v>
      </c>
      <c r="C11" s="53" t="s">
        <v>210</v>
      </c>
      <c r="D11" s="53" t="s">
        <v>212</v>
      </c>
      <c r="E11" s="71">
        <f>571/5280</f>
        <v>0.10814393939393939</v>
      </c>
      <c r="F11" s="53" t="s">
        <v>13</v>
      </c>
      <c r="H11" s="18" t="s">
        <v>200</v>
      </c>
    </row>
    <row r="12" spans="1:8" s="53" customFormat="1" x14ac:dyDescent="0.25">
      <c r="A12" s="18" t="s">
        <v>196</v>
      </c>
      <c r="B12" s="53" t="s">
        <v>1706</v>
      </c>
      <c r="C12" s="53" t="s">
        <v>210</v>
      </c>
      <c r="D12" s="53" t="s">
        <v>199</v>
      </c>
      <c r="E12" s="71">
        <f>(2305+945+1942+1925)/5280</f>
        <v>1.3479166666666667</v>
      </c>
      <c r="F12" s="53" t="s">
        <v>219</v>
      </c>
      <c r="H12" s="53" t="s">
        <v>200</v>
      </c>
    </row>
    <row r="13" spans="1:8" s="53" customFormat="1" x14ac:dyDescent="0.25">
      <c r="A13" s="18" t="s">
        <v>196</v>
      </c>
      <c r="B13" s="53" t="s">
        <v>220</v>
      </c>
      <c r="C13" s="53" t="s">
        <v>210</v>
      </c>
      <c r="D13" s="53" t="s">
        <v>199</v>
      </c>
      <c r="E13" s="71">
        <f>845/5280</f>
        <v>0.16003787878787878</v>
      </c>
      <c r="F13" s="53" t="s">
        <v>219</v>
      </c>
      <c r="H13" s="53" t="s">
        <v>200</v>
      </c>
    </row>
    <row r="14" spans="1:8" s="56" customFormat="1" x14ac:dyDescent="0.25">
      <c r="A14" s="55" t="s">
        <v>196</v>
      </c>
      <c r="B14" s="56" t="s">
        <v>221</v>
      </c>
      <c r="C14" s="56" t="s">
        <v>210</v>
      </c>
      <c r="D14" s="56" t="s">
        <v>199</v>
      </c>
      <c r="E14" s="80"/>
      <c r="F14" s="56" t="s">
        <v>222</v>
      </c>
      <c r="H14" s="56" t="s">
        <v>200</v>
      </c>
    </row>
    <row r="15" spans="1:8" s="54" customFormat="1" x14ac:dyDescent="0.25">
      <c r="A15" s="32" t="s">
        <v>196</v>
      </c>
      <c r="B15" s="54" t="s">
        <v>1707</v>
      </c>
      <c r="C15" s="54" t="s">
        <v>210</v>
      </c>
      <c r="D15" s="54" t="s">
        <v>1708</v>
      </c>
      <c r="E15" s="81">
        <f>189/5280</f>
        <v>3.5795454545454547E-2</v>
      </c>
      <c r="F15" s="54" t="s">
        <v>208</v>
      </c>
      <c r="H15" s="54" t="s">
        <v>200</v>
      </c>
    </row>
    <row r="16" spans="1:8" s="53" customFormat="1" x14ac:dyDescent="0.25">
      <c r="A16" s="18" t="s">
        <v>196</v>
      </c>
      <c r="B16" s="53" t="s">
        <v>223</v>
      </c>
      <c r="C16" s="53" t="s">
        <v>210</v>
      </c>
      <c r="D16" s="53" t="s">
        <v>199</v>
      </c>
      <c r="E16" s="71">
        <f>(4326+530+531)/5280</f>
        <v>1.0202651515151515</v>
      </c>
      <c r="F16" s="53" t="s">
        <v>9</v>
      </c>
      <c r="G16" s="53" t="s">
        <v>224</v>
      </c>
      <c r="H16" s="54" t="s">
        <v>225</v>
      </c>
    </row>
    <row r="17" spans="1:8" s="53" customFormat="1" x14ac:dyDescent="0.25">
      <c r="A17" s="18" t="s">
        <v>196</v>
      </c>
      <c r="B17" s="53" t="s">
        <v>226</v>
      </c>
      <c r="C17" s="53" t="s">
        <v>210</v>
      </c>
      <c r="D17" s="53" t="s">
        <v>199</v>
      </c>
      <c r="E17" s="71">
        <f>505/5280</f>
        <v>9.5643939393939392E-2</v>
      </c>
      <c r="F17" s="53" t="s">
        <v>227</v>
      </c>
      <c r="H17" s="53" t="s">
        <v>200</v>
      </c>
    </row>
    <row r="18" spans="1:8" s="53" customFormat="1" x14ac:dyDescent="0.25">
      <c r="A18" s="18" t="s">
        <v>196</v>
      </c>
      <c r="B18" s="53" t="s">
        <v>228</v>
      </c>
      <c r="C18" s="53" t="s">
        <v>210</v>
      </c>
      <c r="D18" s="53" t="s">
        <v>199</v>
      </c>
      <c r="E18" s="71">
        <f>2090/5280</f>
        <v>0.39583333333333331</v>
      </c>
      <c r="F18" s="53" t="s">
        <v>9</v>
      </c>
      <c r="G18" s="54" t="s">
        <v>229</v>
      </c>
      <c r="H18" s="53" t="s">
        <v>200</v>
      </c>
    </row>
    <row r="19" spans="1:8" s="53" customFormat="1" x14ac:dyDescent="0.25">
      <c r="A19" s="18" t="s">
        <v>196</v>
      </c>
      <c r="B19" s="53" t="s">
        <v>230</v>
      </c>
      <c r="C19" s="53" t="s">
        <v>210</v>
      </c>
      <c r="D19" s="53" t="s">
        <v>231</v>
      </c>
      <c r="E19" s="71">
        <f>2477/5280</f>
        <v>0.46912878787878787</v>
      </c>
      <c r="F19" s="53" t="s">
        <v>232</v>
      </c>
      <c r="G19" s="54" t="s">
        <v>233</v>
      </c>
      <c r="H19" s="53" t="s">
        <v>234</v>
      </c>
    </row>
    <row r="20" spans="1:8" s="53" customFormat="1" x14ac:dyDescent="0.25">
      <c r="A20" s="18" t="s">
        <v>196</v>
      </c>
      <c r="B20" s="23" t="s">
        <v>235</v>
      </c>
      <c r="C20" s="53" t="s">
        <v>210</v>
      </c>
      <c r="D20" s="23" t="s">
        <v>199</v>
      </c>
      <c r="E20" s="71">
        <f>1837/5280</f>
        <v>0.34791666666666665</v>
      </c>
      <c r="F20" s="53" t="s">
        <v>236</v>
      </c>
      <c r="G20" s="53" t="s">
        <v>237</v>
      </c>
      <c r="H20" s="53" t="s">
        <v>200</v>
      </c>
    </row>
    <row r="21" spans="1:8" s="53" customFormat="1" x14ac:dyDescent="0.25">
      <c r="A21" s="18" t="s">
        <v>196</v>
      </c>
      <c r="B21" s="23" t="s">
        <v>238</v>
      </c>
      <c r="C21" s="53" t="s">
        <v>210</v>
      </c>
      <c r="D21" s="23" t="s">
        <v>231</v>
      </c>
      <c r="E21" s="71">
        <f>278/5280</f>
        <v>5.2651515151515151E-2</v>
      </c>
      <c r="F21" s="53" t="s">
        <v>232</v>
      </c>
      <c r="G21" s="53" t="s">
        <v>239</v>
      </c>
      <c r="H21" s="53" t="s">
        <v>234</v>
      </c>
    </row>
    <row r="22" spans="1:8" s="56" customFormat="1" x14ac:dyDescent="0.25">
      <c r="A22" s="55" t="s">
        <v>196</v>
      </c>
      <c r="B22" s="58" t="s">
        <v>240</v>
      </c>
      <c r="C22" s="56" t="s">
        <v>241</v>
      </c>
      <c r="D22" s="58" t="s">
        <v>242</v>
      </c>
      <c r="E22" s="80"/>
      <c r="F22" s="56" t="s">
        <v>243</v>
      </c>
      <c r="G22" s="56" t="s">
        <v>213</v>
      </c>
      <c r="H22" s="56" t="s">
        <v>244</v>
      </c>
    </row>
    <row r="23" spans="1:8" s="53" customFormat="1" x14ac:dyDescent="0.25">
      <c r="A23" s="18" t="s">
        <v>196</v>
      </c>
      <c r="B23" s="23" t="s">
        <v>245</v>
      </c>
      <c r="C23" s="53" t="s">
        <v>241</v>
      </c>
      <c r="D23" s="53" t="s">
        <v>1709</v>
      </c>
      <c r="E23" s="71">
        <f>(68+601)/5280</f>
        <v>0.12670454545454546</v>
      </c>
      <c r="F23" s="53" t="s">
        <v>1710</v>
      </c>
      <c r="G23" s="53" t="s">
        <v>1712</v>
      </c>
      <c r="H23" s="53" t="s">
        <v>1711</v>
      </c>
    </row>
    <row r="24" spans="1:8" s="53" customFormat="1" x14ac:dyDescent="0.25">
      <c r="A24" s="18" t="s">
        <v>196</v>
      </c>
      <c r="B24" s="53" t="s">
        <v>246</v>
      </c>
      <c r="C24" s="53" t="s">
        <v>241</v>
      </c>
      <c r="D24" s="53" t="s">
        <v>199</v>
      </c>
      <c r="E24" s="71">
        <f>511/5280</f>
        <v>9.6780303030303036E-2</v>
      </c>
      <c r="F24" s="53" t="s">
        <v>9</v>
      </c>
      <c r="G24" s="54" t="s">
        <v>247</v>
      </c>
      <c r="H24" s="53" t="s">
        <v>200</v>
      </c>
    </row>
    <row r="25" spans="1:8" s="53" customFormat="1" x14ac:dyDescent="0.25">
      <c r="A25" s="18" t="s">
        <v>196</v>
      </c>
      <c r="B25" s="23" t="s">
        <v>248</v>
      </c>
      <c r="C25" s="53" t="s">
        <v>241</v>
      </c>
      <c r="D25" s="53" t="s">
        <v>249</v>
      </c>
      <c r="E25" s="71">
        <f>775/5280</f>
        <v>0.14678030303030304</v>
      </c>
      <c r="F25" s="53" t="s">
        <v>232</v>
      </c>
      <c r="G25" s="54" t="s">
        <v>250</v>
      </c>
      <c r="H25" s="54" t="s">
        <v>251</v>
      </c>
    </row>
    <row r="26" spans="1:8" s="56" customFormat="1" x14ac:dyDescent="0.25">
      <c r="A26" s="55" t="s">
        <v>196</v>
      </c>
      <c r="B26" s="58" t="s">
        <v>252</v>
      </c>
      <c r="C26" s="56" t="s">
        <v>241</v>
      </c>
      <c r="D26" s="56" t="s">
        <v>249</v>
      </c>
      <c r="E26" s="82"/>
      <c r="F26" s="56" t="s">
        <v>243</v>
      </c>
      <c r="H26" s="56" t="s">
        <v>251</v>
      </c>
    </row>
    <row r="27" spans="1:8" s="56" customFormat="1" x14ac:dyDescent="0.25">
      <c r="A27" s="55" t="s">
        <v>196</v>
      </c>
      <c r="B27" s="58" t="s">
        <v>253</v>
      </c>
      <c r="C27" s="56" t="s">
        <v>241</v>
      </c>
      <c r="D27" s="56" t="s">
        <v>254</v>
      </c>
      <c r="E27" s="82"/>
      <c r="F27" s="56" t="s">
        <v>255</v>
      </c>
      <c r="H27" s="56" t="s">
        <v>256</v>
      </c>
    </row>
    <row r="28" spans="1:8" s="53" customFormat="1" x14ac:dyDescent="0.25">
      <c r="A28" s="18" t="s">
        <v>196</v>
      </c>
      <c r="B28" s="23" t="s">
        <v>253</v>
      </c>
      <c r="C28" s="23" t="s">
        <v>241</v>
      </c>
      <c r="D28" s="23" t="s">
        <v>257</v>
      </c>
      <c r="E28" s="71">
        <f>(335+45+135+45)/5280</f>
        <v>0.10606060606060606</v>
      </c>
      <c r="F28" s="53" t="s">
        <v>13</v>
      </c>
      <c r="G28" s="54" t="s">
        <v>258</v>
      </c>
      <c r="H28" s="53" t="s">
        <v>200</v>
      </c>
    </row>
    <row r="29" spans="1:8" s="53" customFormat="1" x14ac:dyDescent="0.25">
      <c r="A29" s="18" t="s">
        <v>196</v>
      </c>
      <c r="B29" s="23" t="s">
        <v>259</v>
      </c>
      <c r="C29" s="53" t="s">
        <v>241</v>
      </c>
      <c r="D29" s="53" t="s">
        <v>5</v>
      </c>
      <c r="E29" s="71">
        <f>(863+138)/5280</f>
        <v>0.18958333333333333</v>
      </c>
      <c r="F29" s="53" t="s">
        <v>8</v>
      </c>
      <c r="H29" s="53" t="s">
        <v>200</v>
      </c>
    </row>
    <row r="30" spans="1:8" s="53" customFormat="1" x14ac:dyDescent="0.25">
      <c r="A30" s="18" t="s">
        <v>196</v>
      </c>
      <c r="B30" s="23" t="s">
        <v>260</v>
      </c>
      <c r="C30" s="53" t="s">
        <v>241</v>
      </c>
      <c r="D30" s="53" t="s">
        <v>257</v>
      </c>
      <c r="E30" s="71">
        <f>1831/5280</f>
        <v>0.34678030303030305</v>
      </c>
      <c r="F30" s="53" t="s">
        <v>13</v>
      </c>
      <c r="H30" s="53" t="s">
        <v>200</v>
      </c>
    </row>
    <row r="31" spans="1:8" s="53" customFormat="1" x14ac:dyDescent="0.25">
      <c r="A31" s="18" t="s">
        <v>196</v>
      </c>
      <c r="B31" s="4" t="s">
        <v>261</v>
      </c>
      <c r="C31" s="53" t="s">
        <v>241</v>
      </c>
      <c r="D31" s="53" t="s">
        <v>262</v>
      </c>
      <c r="E31" s="71">
        <f>287/5280</f>
        <v>5.4356060606060609E-2</v>
      </c>
      <c r="F31" s="53" t="s">
        <v>232</v>
      </c>
      <c r="G31" s="53" t="s">
        <v>263</v>
      </c>
      <c r="H31" s="53" t="s">
        <v>256</v>
      </c>
    </row>
    <row r="32" spans="1:8" s="56" customFormat="1" x14ac:dyDescent="0.25">
      <c r="A32" s="55" t="s">
        <v>196</v>
      </c>
      <c r="B32" s="58" t="s">
        <v>264</v>
      </c>
      <c r="C32" s="56" t="s">
        <v>241</v>
      </c>
      <c r="D32" s="58" t="s">
        <v>265</v>
      </c>
      <c r="E32" s="82"/>
      <c r="F32" s="56" t="s">
        <v>243</v>
      </c>
      <c r="G32" s="56" t="s">
        <v>266</v>
      </c>
      <c r="H32" s="56" t="s">
        <v>200</v>
      </c>
    </row>
    <row r="33" spans="1:8" s="56" customFormat="1" x14ac:dyDescent="0.25">
      <c r="A33" s="55" t="s">
        <v>196</v>
      </c>
      <c r="B33" s="58" t="s">
        <v>267</v>
      </c>
      <c r="C33" s="56" t="s">
        <v>241</v>
      </c>
      <c r="D33" s="58" t="s">
        <v>265</v>
      </c>
      <c r="E33" s="82"/>
      <c r="F33" s="56" t="s">
        <v>243</v>
      </c>
      <c r="H33" s="56" t="s">
        <v>200</v>
      </c>
    </row>
    <row r="34" spans="1:8" s="56" customFormat="1" x14ac:dyDescent="0.25">
      <c r="A34" s="55" t="s">
        <v>196</v>
      </c>
      <c r="B34" s="58" t="s">
        <v>268</v>
      </c>
      <c r="C34" s="56" t="s">
        <v>241</v>
      </c>
      <c r="D34" s="56" t="s">
        <v>265</v>
      </c>
      <c r="E34" s="82"/>
      <c r="F34" s="56" t="s">
        <v>243</v>
      </c>
      <c r="H34" s="56" t="s">
        <v>200</v>
      </c>
    </row>
    <row r="35" spans="1:8" s="54" customFormat="1" x14ac:dyDescent="0.25">
      <c r="A35" s="32" t="s">
        <v>196</v>
      </c>
      <c r="B35" s="4" t="s">
        <v>269</v>
      </c>
      <c r="C35" s="54" t="s">
        <v>241</v>
      </c>
      <c r="D35" s="54" t="s">
        <v>270</v>
      </c>
      <c r="E35" s="81">
        <f>(268)/5280</f>
        <v>5.0757575757575758E-2</v>
      </c>
      <c r="F35" s="54" t="s">
        <v>13</v>
      </c>
      <c r="G35" s="54" t="s">
        <v>271</v>
      </c>
      <c r="H35" s="53" t="s">
        <v>200</v>
      </c>
    </row>
    <row r="36" spans="1:8" s="53" customFormat="1" x14ac:dyDescent="0.25">
      <c r="A36" s="18" t="s">
        <v>196</v>
      </c>
      <c r="B36" s="61" t="s">
        <v>272</v>
      </c>
      <c r="C36" s="53" t="s">
        <v>241</v>
      </c>
      <c r="D36" s="53" t="s">
        <v>5</v>
      </c>
      <c r="E36" s="71">
        <f>1032/5280</f>
        <v>0.19545454545454546</v>
      </c>
      <c r="F36" s="53" t="s">
        <v>8</v>
      </c>
      <c r="H36" s="53" t="s">
        <v>200</v>
      </c>
    </row>
    <row r="37" spans="1:8" s="53" customFormat="1" x14ac:dyDescent="0.25">
      <c r="A37" s="18" t="s">
        <v>196</v>
      </c>
      <c r="B37" s="62" t="s">
        <v>273</v>
      </c>
      <c r="C37" s="53" t="s">
        <v>241</v>
      </c>
      <c r="D37" s="53" t="s">
        <v>199</v>
      </c>
      <c r="E37" s="71">
        <f>2170/5280</f>
        <v>0.41098484848484851</v>
      </c>
      <c r="F37" s="54" t="s">
        <v>274</v>
      </c>
      <c r="H37" s="53" t="s">
        <v>200</v>
      </c>
    </row>
    <row r="38" spans="1:8" s="56" customFormat="1" x14ac:dyDescent="0.25">
      <c r="A38" s="55" t="s">
        <v>196</v>
      </c>
      <c r="B38" s="63" t="s">
        <v>275</v>
      </c>
      <c r="C38" s="56" t="s">
        <v>241</v>
      </c>
      <c r="D38" s="56" t="s">
        <v>276</v>
      </c>
      <c r="E38" s="82"/>
      <c r="F38" s="56" t="s">
        <v>277</v>
      </c>
      <c r="G38" s="56" t="s">
        <v>278</v>
      </c>
      <c r="H38" s="56" t="s">
        <v>279</v>
      </c>
    </row>
    <row r="39" spans="1:8" s="56" customFormat="1" x14ac:dyDescent="0.25">
      <c r="A39" s="55" t="s">
        <v>196</v>
      </c>
      <c r="B39" s="63" t="s">
        <v>280</v>
      </c>
      <c r="C39" s="56" t="s">
        <v>241</v>
      </c>
      <c r="D39" s="56" t="s">
        <v>276</v>
      </c>
      <c r="E39" s="82"/>
      <c r="F39" s="56" t="s">
        <v>277</v>
      </c>
      <c r="G39" s="56" t="s">
        <v>278</v>
      </c>
      <c r="H39" s="56" t="s">
        <v>279</v>
      </c>
    </row>
    <row r="40" spans="1:8" s="53" customFormat="1" x14ac:dyDescent="0.25">
      <c r="A40" s="32" t="s">
        <v>196</v>
      </c>
      <c r="B40" s="62" t="s">
        <v>281</v>
      </c>
      <c r="C40" s="54" t="s">
        <v>241</v>
      </c>
      <c r="D40" s="54" t="s">
        <v>276</v>
      </c>
      <c r="E40" s="29">
        <v>0</v>
      </c>
      <c r="F40" s="54" t="s">
        <v>282</v>
      </c>
      <c r="G40" s="53" t="s">
        <v>1704</v>
      </c>
      <c r="H40" s="53" t="s">
        <v>279</v>
      </c>
    </row>
    <row r="41" spans="1:8" s="53" customFormat="1" x14ac:dyDescent="0.25">
      <c r="A41" s="18" t="s">
        <v>196</v>
      </c>
      <c r="B41" s="62" t="s">
        <v>283</v>
      </c>
      <c r="C41" s="53" t="s">
        <v>241</v>
      </c>
      <c r="D41" s="53" t="s">
        <v>284</v>
      </c>
      <c r="E41" s="71">
        <f>(7690)/5280</f>
        <v>1.456439393939394</v>
      </c>
      <c r="F41" s="54" t="s">
        <v>154</v>
      </c>
      <c r="G41" s="53" t="s">
        <v>285</v>
      </c>
      <c r="H41" s="53" t="s">
        <v>286</v>
      </c>
    </row>
    <row r="42" spans="1:8" s="53" customFormat="1" x14ac:dyDescent="0.25">
      <c r="A42" s="18" t="s">
        <v>196</v>
      </c>
      <c r="B42" s="62" t="s">
        <v>287</v>
      </c>
      <c r="C42" s="23" t="s">
        <v>241</v>
      </c>
      <c r="D42" s="23" t="s">
        <v>288</v>
      </c>
      <c r="E42" s="71">
        <f>1279/5280</f>
        <v>0.2422348484848485</v>
      </c>
      <c r="F42" s="4" t="s">
        <v>154</v>
      </c>
      <c r="G42" s="4" t="s">
        <v>289</v>
      </c>
      <c r="H42" s="53" t="s">
        <v>290</v>
      </c>
    </row>
    <row r="43" spans="1:8" s="53" customFormat="1" x14ac:dyDescent="0.25">
      <c r="A43" s="18" t="s">
        <v>196</v>
      </c>
      <c r="B43" s="62" t="s">
        <v>291</v>
      </c>
      <c r="C43" s="53" t="s">
        <v>241</v>
      </c>
      <c r="D43" s="23" t="s">
        <v>288</v>
      </c>
      <c r="E43" s="71">
        <f>6582/5280</f>
        <v>1.2465909090909091</v>
      </c>
      <c r="F43" s="53" t="s">
        <v>232</v>
      </c>
      <c r="G43" s="53" t="s">
        <v>292</v>
      </c>
      <c r="H43" s="53" t="s">
        <v>290</v>
      </c>
    </row>
    <row r="44" spans="1:8" s="53" customFormat="1" x14ac:dyDescent="0.25">
      <c r="A44" s="18" t="s">
        <v>196</v>
      </c>
      <c r="B44" s="62" t="s">
        <v>293</v>
      </c>
      <c r="C44" s="53" t="s">
        <v>241</v>
      </c>
      <c r="D44" s="23" t="s">
        <v>288</v>
      </c>
      <c r="E44" s="71">
        <f>753/5280</f>
        <v>0.14261363636363636</v>
      </c>
      <c r="F44" s="53" t="s">
        <v>154</v>
      </c>
      <c r="G44" s="53" t="s">
        <v>294</v>
      </c>
      <c r="H44" s="53" t="s">
        <v>290</v>
      </c>
    </row>
    <row r="45" spans="1:8" s="53" customFormat="1" x14ac:dyDescent="0.25">
      <c r="A45" s="18" t="s">
        <v>196</v>
      </c>
      <c r="B45" s="62" t="s">
        <v>295</v>
      </c>
      <c r="C45" s="53" t="s">
        <v>241</v>
      </c>
      <c r="D45" s="23" t="s">
        <v>207</v>
      </c>
      <c r="E45" s="71">
        <f>(812+499)/5280</f>
        <v>0.24829545454545454</v>
      </c>
      <c r="F45" s="53" t="s">
        <v>208</v>
      </c>
      <c r="H45" s="53" t="s">
        <v>200</v>
      </c>
    </row>
    <row r="46" spans="1:8" s="53" customFormat="1" x14ac:dyDescent="0.25">
      <c r="A46" s="18"/>
      <c r="B46" s="62"/>
      <c r="D46" s="23"/>
      <c r="E46" s="71"/>
    </row>
    <row r="47" spans="1:8" s="53" customFormat="1" x14ac:dyDescent="0.25">
      <c r="A47" s="18"/>
      <c r="B47" s="62"/>
      <c r="D47" s="64" t="s">
        <v>11</v>
      </c>
      <c r="E47" s="65">
        <f>SUM(E2:E45)</f>
        <v>13.683333333333334</v>
      </c>
      <c r="F47" s="39">
        <f>E47/48.77</f>
        <v>0.28056865559428606</v>
      </c>
    </row>
    <row r="48" spans="1:8" s="53" customFormat="1" x14ac:dyDescent="0.25">
      <c r="E48" s="22"/>
    </row>
    <row r="49" spans="1:5" s="53" customFormat="1" x14ac:dyDescent="0.25">
      <c r="E49" s="22"/>
    </row>
    <row r="50" spans="1:5" s="53" customFormat="1" x14ac:dyDescent="0.25">
      <c r="E50" s="22"/>
    </row>
    <row r="51" spans="1:5" s="53" customFormat="1" x14ac:dyDescent="0.25">
      <c r="A51" s="66" t="s">
        <v>296</v>
      </c>
      <c r="B51" s="66" t="s">
        <v>2358</v>
      </c>
      <c r="E51" s="22"/>
    </row>
    <row r="52" spans="1:5" s="53" customFormat="1" x14ac:dyDescent="0.25">
      <c r="B52" s="66" t="s">
        <v>2361</v>
      </c>
      <c r="E52" s="22"/>
    </row>
    <row r="53" spans="1:5" s="53" customFormat="1" x14ac:dyDescent="0.25">
      <c r="B53" s="70" t="s">
        <v>2360</v>
      </c>
      <c r="E53" s="22"/>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heetViews>
  <sheetFormatPr defaultRowHeight="15" x14ac:dyDescent="0.25"/>
  <cols>
    <col min="1" max="1" width="12.42578125" customWidth="1"/>
    <col min="2" max="2" width="46.85546875" customWidth="1"/>
    <col min="3" max="3" width="14" customWidth="1"/>
    <col min="4" max="4" width="32" customWidth="1"/>
    <col min="5" max="5" width="15.7109375" customWidth="1"/>
    <col min="6" max="6" width="49" customWidth="1"/>
    <col min="7" max="7" width="36.140625" customWidth="1"/>
    <col min="8" max="8" width="30.85546875" customWidth="1"/>
  </cols>
  <sheetData>
    <row r="1" spans="1:8" s="1" customFormat="1" ht="60" x14ac:dyDescent="0.25">
      <c r="A1" s="1" t="s">
        <v>0</v>
      </c>
      <c r="B1" s="1" t="s">
        <v>1</v>
      </c>
      <c r="C1" s="1" t="s">
        <v>4</v>
      </c>
      <c r="D1" s="1" t="s">
        <v>2</v>
      </c>
      <c r="E1" s="17" t="s">
        <v>1579</v>
      </c>
      <c r="F1" s="1" t="s">
        <v>7</v>
      </c>
      <c r="G1" s="45" t="s">
        <v>10</v>
      </c>
      <c r="H1" s="1" t="s">
        <v>3</v>
      </c>
    </row>
    <row r="2" spans="1:8" s="53" customFormat="1" x14ac:dyDescent="0.25">
      <c r="A2" s="53" t="s">
        <v>297</v>
      </c>
      <c r="B2" s="53" t="s">
        <v>298</v>
      </c>
      <c r="C2" s="53" t="s">
        <v>299</v>
      </c>
      <c r="D2" s="23" t="s">
        <v>300</v>
      </c>
      <c r="E2" s="71">
        <f>390/5280</f>
        <v>7.3863636363636367E-2</v>
      </c>
      <c r="F2" s="53" t="s">
        <v>9</v>
      </c>
      <c r="G2" s="54" t="s">
        <v>301</v>
      </c>
      <c r="H2" s="54" t="s">
        <v>1649</v>
      </c>
    </row>
    <row r="3" spans="1:8" s="53" customFormat="1" x14ac:dyDescent="0.25">
      <c r="A3" s="53" t="s">
        <v>297</v>
      </c>
      <c r="B3" s="53" t="s">
        <v>302</v>
      </c>
      <c r="C3" s="53" t="s">
        <v>299</v>
      </c>
      <c r="D3" s="4" t="s">
        <v>303</v>
      </c>
      <c r="E3" s="71">
        <f>519/5280</f>
        <v>9.8295454545454547E-2</v>
      </c>
      <c r="F3" s="53" t="s">
        <v>208</v>
      </c>
      <c r="G3" s="54" t="s">
        <v>304</v>
      </c>
      <c r="H3" s="54" t="s">
        <v>1649</v>
      </c>
    </row>
    <row r="4" spans="1:8" s="53" customFormat="1" x14ac:dyDescent="0.25">
      <c r="A4" s="18" t="s">
        <v>297</v>
      </c>
      <c r="B4" s="23" t="s">
        <v>305</v>
      </c>
      <c r="C4" s="53" t="s">
        <v>299</v>
      </c>
      <c r="D4" s="53" t="s">
        <v>306</v>
      </c>
      <c r="E4" s="31">
        <f>(1729+1113)/5280</f>
        <v>0.53825757575757571</v>
      </c>
      <c r="F4" s="53" t="s">
        <v>9</v>
      </c>
      <c r="G4" s="53" t="s">
        <v>307</v>
      </c>
      <c r="H4" s="54" t="s">
        <v>1649</v>
      </c>
    </row>
    <row r="5" spans="1:8" s="53" customFormat="1" x14ac:dyDescent="0.25">
      <c r="A5" s="18" t="s">
        <v>297</v>
      </c>
      <c r="B5" s="23" t="s">
        <v>308</v>
      </c>
      <c r="C5" s="53" t="s">
        <v>299</v>
      </c>
      <c r="D5" s="53" t="s">
        <v>306</v>
      </c>
      <c r="E5" s="31">
        <f>720/5280</f>
        <v>0.13636363636363635</v>
      </c>
      <c r="F5" s="53" t="s">
        <v>9</v>
      </c>
      <c r="G5" s="53" t="s">
        <v>309</v>
      </c>
      <c r="H5" s="54" t="s">
        <v>1649</v>
      </c>
    </row>
    <row r="6" spans="1:8" s="56" customFormat="1" x14ac:dyDescent="0.25">
      <c r="A6" s="55" t="s">
        <v>297</v>
      </c>
      <c r="B6" s="58" t="s">
        <v>310</v>
      </c>
      <c r="C6" s="56" t="s">
        <v>299</v>
      </c>
      <c r="D6" s="56" t="s">
        <v>311</v>
      </c>
      <c r="E6" s="57"/>
      <c r="F6" s="56" t="s">
        <v>232</v>
      </c>
      <c r="G6" s="56" t="s">
        <v>312</v>
      </c>
      <c r="H6" s="56" t="s">
        <v>1649</v>
      </c>
    </row>
    <row r="7" spans="1:8" s="53" customFormat="1" x14ac:dyDescent="0.25">
      <c r="A7" s="18" t="s">
        <v>297</v>
      </c>
      <c r="B7" s="23" t="s">
        <v>313</v>
      </c>
      <c r="C7" s="53" t="s">
        <v>299</v>
      </c>
      <c r="D7" s="53" t="s">
        <v>306</v>
      </c>
      <c r="E7" s="71">
        <f>178/5280</f>
        <v>3.3712121212121214E-2</v>
      </c>
      <c r="F7" s="53" t="s">
        <v>9</v>
      </c>
      <c r="G7" s="53" t="s">
        <v>314</v>
      </c>
      <c r="H7" s="54" t="s">
        <v>1649</v>
      </c>
    </row>
    <row r="8" spans="1:8" s="53" customFormat="1" x14ac:dyDescent="0.25">
      <c r="A8" s="18" t="s">
        <v>297</v>
      </c>
      <c r="B8" s="23" t="s">
        <v>315</v>
      </c>
      <c r="C8" s="53" t="s">
        <v>299</v>
      </c>
      <c r="D8" s="53" t="s">
        <v>306</v>
      </c>
      <c r="E8" s="31">
        <f>469/5280</f>
        <v>8.8825757575757572E-2</v>
      </c>
      <c r="F8" s="53" t="s">
        <v>316</v>
      </c>
      <c r="G8" s="53" t="s">
        <v>317</v>
      </c>
      <c r="H8" s="54" t="s">
        <v>1649</v>
      </c>
    </row>
    <row r="9" spans="1:8" s="53" customFormat="1" x14ac:dyDescent="0.25">
      <c r="A9" s="18" t="s">
        <v>297</v>
      </c>
      <c r="B9" s="53" t="s">
        <v>318</v>
      </c>
      <c r="C9" s="53" t="s">
        <v>299</v>
      </c>
      <c r="D9" s="54" t="s">
        <v>311</v>
      </c>
      <c r="E9" s="31">
        <f>1002/5280</f>
        <v>0.18977272727272726</v>
      </c>
      <c r="F9" s="53" t="s">
        <v>232</v>
      </c>
      <c r="G9" s="53" t="s">
        <v>319</v>
      </c>
      <c r="H9" s="54" t="s">
        <v>1649</v>
      </c>
    </row>
    <row r="10" spans="1:8" s="56" customFormat="1" x14ac:dyDescent="0.25">
      <c r="A10" s="55" t="s">
        <v>297</v>
      </c>
      <c r="B10" s="58" t="s">
        <v>320</v>
      </c>
      <c r="C10" s="56" t="s">
        <v>299</v>
      </c>
      <c r="D10" s="56" t="s">
        <v>321</v>
      </c>
      <c r="E10" s="57"/>
      <c r="F10" s="56" t="s">
        <v>232</v>
      </c>
      <c r="G10" s="56" t="s">
        <v>312</v>
      </c>
      <c r="H10" s="56" t="s">
        <v>1649</v>
      </c>
    </row>
    <row r="11" spans="1:8" s="53" customFormat="1" x14ac:dyDescent="0.25">
      <c r="A11" s="18" t="s">
        <v>297</v>
      </c>
      <c r="B11" s="53" t="s">
        <v>322</v>
      </c>
      <c r="C11" s="53" t="s">
        <v>299</v>
      </c>
      <c r="D11" s="53" t="s">
        <v>306</v>
      </c>
      <c r="E11" s="31">
        <f>1013/5280</f>
        <v>0.19185606060606061</v>
      </c>
      <c r="F11" s="53" t="s">
        <v>9</v>
      </c>
      <c r="G11" s="54" t="s">
        <v>323</v>
      </c>
      <c r="H11" s="54" t="s">
        <v>1649</v>
      </c>
    </row>
    <row r="12" spans="1:8" s="53" customFormat="1" x14ac:dyDescent="0.25">
      <c r="A12" s="18" t="s">
        <v>297</v>
      </c>
      <c r="B12" s="53" t="s">
        <v>324</v>
      </c>
      <c r="C12" s="53" t="s">
        <v>299</v>
      </c>
      <c r="D12" s="53" t="s">
        <v>325</v>
      </c>
      <c r="E12" s="31">
        <f>165/5280</f>
        <v>3.125E-2</v>
      </c>
      <c r="F12" s="53" t="s">
        <v>154</v>
      </c>
      <c r="G12" s="54" t="s">
        <v>326</v>
      </c>
      <c r="H12" s="54" t="s">
        <v>1649</v>
      </c>
    </row>
    <row r="13" spans="1:8" s="53" customFormat="1" x14ac:dyDescent="0.25">
      <c r="A13" s="18" t="s">
        <v>297</v>
      </c>
      <c r="B13" s="53" t="s">
        <v>327</v>
      </c>
      <c r="C13" s="53" t="s">
        <v>299</v>
      </c>
      <c r="D13" s="53" t="s">
        <v>306</v>
      </c>
      <c r="E13" s="31">
        <f>(7801-1291-271)/5280</f>
        <v>1.1816287878787879</v>
      </c>
      <c r="F13" s="53" t="s">
        <v>9</v>
      </c>
      <c r="G13" s="54" t="s">
        <v>328</v>
      </c>
      <c r="H13" s="54" t="s">
        <v>1649</v>
      </c>
    </row>
    <row r="14" spans="1:8" s="53" customFormat="1" x14ac:dyDescent="0.25">
      <c r="A14" s="18" t="s">
        <v>297</v>
      </c>
      <c r="B14" s="54" t="s">
        <v>329</v>
      </c>
      <c r="C14" s="53" t="s">
        <v>299</v>
      </c>
      <c r="D14" s="53" t="s">
        <v>306</v>
      </c>
      <c r="E14" s="60">
        <f>(9107-1146)/5280</f>
        <v>1.5077651515151516</v>
      </c>
      <c r="F14" s="53" t="s">
        <v>9</v>
      </c>
      <c r="G14" s="54" t="s">
        <v>330</v>
      </c>
      <c r="H14" s="54" t="s">
        <v>1649</v>
      </c>
    </row>
    <row r="15" spans="1:8" s="53" customFormat="1" x14ac:dyDescent="0.25">
      <c r="A15" s="18" t="s">
        <v>297</v>
      </c>
      <c r="B15" s="53" t="s">
        <v>331</v>
      </c>
      <c r="C15" s="53" t="s">
        <v>299</v>
      </c>
      <c r="D15" s="53" t="s">
        <v>332</v>
      </c>
      <c r="E15" s="31">
        <f>6517/5280</f>
        <v>1.2342803030303031</v>
      </c>
      <c r="F15" s="53" t="s">
        <v>232</v>
      </c>
      <c r="G15" s="54" t="s">
        <v>333</v>
      </c>
      <c r="H15" s="54" t="s">
        <v>1649</v>
      </c>
    </row>
    <row r="16" spans="1:8" s="53" customFormat="1" x14ac:dyDescent="0.25">
      <c r="E16" s="19"/>
    </row>
    <row r="17" spans="1:6" s="53" customFormat="1" x14ac:dyDescent="0.25">
      <c r="D17" s="64" t="s">
        <v>11</v>
      </c>
      <c r="E17" s="31">
        <f>SUM(E2:E15)</f>
        <v>5.3058712121212128</v>
      </c>
      <c r="F17" s="39">
        <f>E17/9.93</f>
        <v>0.53432741310384824</v>
      </c>
    </row>
    <row r="18" spans="1:6" s="25" customFormat="1" x14ac:dyDescent="0.25"/>
    <row r="19" spans="1:6" s="25" customFormat="1" x14ac:dyDescent="0.25"/>
    <row r="20" spans="1:6" s="25" customFormat="1" x14ac:dyDescent="0.25">
      <c r="A20" s="66" t="s">
        <v>296</v>
      </c>
      <c r="B20" s="66" t="s">
        <v>2358</v>
      </c>
    </row>
    <row r="21" spans="1:6" s="25" customFormat="1" x14ac:dyDescent="0.25">
      <c r="B21" s="66" t="s">
        <v>2361</v>
      </c>
    </row>
    <row r="22" spans="1:6" s="25" customFormat="1" x14ac:dyDescent="0.25">
      <c r="B22" s="70" t="s">
        <v>2360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6"/>
  <sheetViews>
    <sheetView workbookViewId="0"/>
  </sheetViews>
  <sheetFormatPr defaultRowHeight="15" x14ac:dyDescent="0.25"/>
  <cols>
    <col min="1" max="1" width="12.42578125" customWidth="1"/>
    <col min="2" max="2" width="46.85546875" customWidth="1"/>
    <col min="3" max="3" width="14" customWidth="1"/>
    <col min="4" max="4" width="32" customWidth="1"/>
    <col min="5" max="5" width="15.7109375" customWidth="1"/>
    <col min="6" max="6" width="49" customWidth="1"/>
    <col min="7" max="7" width="36.140625" customWidth="1"/>
    <col min="8" max="8" width="30.85546875" customWidth="1"/>
  </cols>
  <sheetData>
    <row r="1" spans="1:8" s="1" customFormat="1" ht="60" x14ac:dyDescent="0.25">
      <c r="A1" s="1" t="s">
        <v>0</v>
      </c>
      <c r="B1" s="1" t="s">
        <v>1</v>
      </c>
      <c r="C1" s="1" t="s">
        <v>4</v>
      </c>
      <c r="D1" s="1" t="s">
        <v>2</v>
      </c>
      <c r="E1" s="17" t="s">
        <v>1579</v>
      </c>
      <c r="F1" s="1" t="s">
        <v>7</v>
      </c>
      <c r="G1" s="45" t="s">
        <v>10</v>
      </c>
      <c r="H1" s="1" t="s">
        <v>3</v>
      </c>
    </row>
    <row r="2" spans="1:8" s="53" customFormat="1" x14ac:dyDescent="0.25">
      <c r="A2" s="18" t="s">
        <v>334</v>
      </c>
      <c r="B2" s="53" t="s">
        <v>335</v>
      </c>
      <c r="C2" s="53" t="s">
        <v>336</v>
      </c>
      <c r="D2" s="53" t="s">
        <v>337</v>
      </c>
      <c r="E2" s="31">
        <f>18757/5280</f>
        <v>3.552462121212121</v>
      </c>
      <c r="F2" s="53" t="s">
        <v>232</v>
      </c>
      <c r="G2" s="53" t="s">
        <v>338</v>
      </c>
      <c r="H2" s="53" t="s">
        <v>339</v>
      </c>
    </row>
    <row r="3" spans="1:8" s="53" customFormat="1" x14ac:dyDescent="0.25">
      <c r="A3" s="18" t="s">
        <v>334</v>
      </c>
      <c r="B3" s="53" t="s">
        <v>340</v>
      </c>
      <c r="C3" s="53" t="s">
        <v>336</v>
      </c>
      <c r="D3" s="53" t="s">
        <v>341</v>
      </c>
      <c r="E3" s="31">
        <f>(1729)/5280</f>
        <v>0.3274621212121212</v>
      </c>
      <c r="F3" s="53" t="s">
        <v>232</v>
      </c>
      <c r="G3" s="53" t="s">
        <v>342</v>
      </c>
      <c r="H3" s="53" t="s">
        <v>339</v>
      </c>
    </row>
    <row r="4" spans="1:8" s="53" customFormat="1" x14ac:dyDescent="0.25">
      <c r="A4" s="18" t="s">
        <v>334</v>
      </c>
      <c r="B4" s="53" t="s">
        <v>343</v>
      </c>
      <c r="C4" s="53" t="s">
        <v>336</v>
      </c>
      <c r="D4" s="53" t="s">
        <v>5</v>
      </c>
      <c r="E4" s="31">
        <f>(32539)/5280</f>
        <v>6.1626893939393943</v>
      </c>
      <c r="F4" s="53" t="s">
        <v>8</v>
      </c>
      <c r="G4" s="53" t="s">
        <v>2066</v>
      </c>
      <c r="H4" s="53" t="s">
        <v>339</v>
      </c>
    </row>
    <row r="5" spans="1:8" s="53" customFormat="1" x14ac:dyDescent="0.25">
      <c r="A5" s="18" t="s">
        <v>334</v>
      </c>
      <c r="B5" s="53" t="s">
        <v>344</v>
      </c>
      <c r="C5" s="53" t="s">
        <v>336</v>
      </c>
      <c r="D5" s="53" t="s">
        <v>337</v>
      </c>
      <c r="E5" s="60">
        <f>(286+3392)/5280</f>
        <v>0.69659090909090904</v>
      </c>
      <c r="F5" s="53" t="s">
        <v>219</v>
      </c>
      <c r="G5" s="53" t="s">
        <v>2067</v>
      </c>
      <c r="H5" s="53" t="s">
        <v>339</v>
      </c>
    </row>
    <row r="6" spans="1:8" s="53" customFormat="1" x14ac:dyDescent="0.25">
      <c r="A6" s="18" t="s">
        <v>334</v>
      </c>
      <c r="B6" s="53" t="s">
        <v>345</v>
      </c>
      <c r="C6" s="53" t="s">
        <v>336</v>
      </c>
      <c r="D6" s="53" t="s">
        <v>346</v>
      </c>
      <c r="E6" s="60">
        <f>20442/5280</f>
        <v>3.8715909090909091</v>
      </c>
      <c r="F6" s="53" t="s">
        <v>347</v>
      </c>
      <c r="G6" s="53" t="s">
        <v>348</v>
      </c>
      <c r="H6" s="53" t="s">
        <v>339</v>
      </c>
    </row>
    <row r="7" spans="1:8" s="53" customFormat="1" x14ac:dyDescent="0.25">
      <c r="A7" s="18" t="s">
        <v>334</v>
      </c>
      <c r="B7" s="53" t="s">
        <v>349</v>
      </c>
      <c r="C7" s="53" t="s">
        <v>336</v>
      </c>
      <c r="D7" s="53" t="s">
        <v>350</v>
      </c>
      <c r="E7" s="31">
        <f>2839/5280</f>
        <v>0.53768939393939397</v>
      </c>
      <c r="F7" s="53" t="s">
        <v>232</v>
      </c>
      <c r="G7" s="53" t="s">
        <v>351</v>
      </c>
      <c r="H7" s="53" t="s">
        <v>339</v>
      </c>
    </row>
    <row r="8" spans="1:8" s="56" customFormat="1" x14ac:dyDescent="0.25">
      <c r="A8" s="55" t="s">
        <v>334</v>
      </c>
      <c r="B8" s="56" t="s">
        <v>352</v>
      </c>
      <c r="C8" s="56" t="s">
        <v>336</v>
      </c>
      <c r="D8" s="56" t="s">
        <v>353</v>
      </c>
      <c r="E8" s="57" t="s">
        <v>354</v>
      </c>
      <c r="F8" s="56" t="s">
        <v>355</v>
      </c>
      <c r="G8" s="56" t="s">
        <v>356</v>
      </c>
      <c r="H8" s="56" t="s">
        <v>339</v>
      </c>
    </row>
    <row r="9" spans="1:8" s="56" customFormat="1" x14ac:dyDescent="0.25">
      <c r="A9" s="55" t="s">
        <v>334</v>
      </c>
      <c r="B9" s="56" t="s">
        <v>357</v>
      </c>
      <c r="C9" s="56" t="s">
        <v>336</v>
      </c>
      <c r="D9" s="56" t="s">
        <v>353</v>
      </c>
      <c r="E9" s="57" t="s">
        <v>354</v>
      </c>
      <c r="F9" s="56" t="s">
        <v>358</v>
      </c>
      <c r="G9" s="56" t="s">
        <v>359</v>
      </c>
      <c r="H9" s="56" t="s">
        <v>339</v>
      </c>
    </row>
    <row r="10" spans="1:8" s="56" customFormat="1" x14ac:dyDescent="0.25">
      <c r="A10" s="55" t="s">
        <v>334</v>
      </c>
      <c r="B10" s="56" t="s">
        <v>360</v>
      </c>
      <c r="C10" s="56" t="s">
        <v>336</v>
      </c>
      <c r="D10" s="56" t="s">
        <v>353</v>
      </c>
      <c r="E10" s="57" t="s">
        <v>354</v>
      </c>
      <c r="F10" s="56" t="s">
        <v>361</v>
      </c>
      <c r="G10" s="56" t="s">
        <v>362</v>
      </c>
      <c r="H10" s="56" t="s">
        <v>339</v>
      </c>
    </row>
    <row r="11" spans="1:8" s="53" customFormat="1" x14ac:dyDescent="0.25">
      <c r="A11" s="18" t="s">
        <v>334</v>
      </c>
      <c r="B11" s="53" t="s">
        <v>363</v>
      </c>
      <c r="C11" s="53" t="s">
        <v>336</v>
      </c>
      <c r="D11" s="53" t="s">
        <v>353</v>
      </c>
      <c r="E11" s="31">
        <f>(2204)/5280</f>
        <v>0.41742424242424242</v>
      </c>
      <c r="F11" s="53" t="s">
        <v>232</v>
      </c>
      <c r="G11" s="53" t="s">
        <v>364</v>
      </c>
      <c r="H11" s="53" t="s">
        <v>339</v>
      </c>
    </row>
    <row r="12" spans="1:8" s="56" customFormat="1" x14ac:dyDescent="0.25">
      <c r="A12" s="55" t="s">
        <v>334</v>
      </c>
      <c r="B12" s="56" t="s">
        <v>365</v>
      </c>
      <c r="C12" s="56" t="s">
        <v>336</v>
      </c>
      <c r="D12" s="56" t="s">
        <v>353</v>
      </c>
      <c r="E12" s="57" t="s">
        <v>354</v>
      </c>
      <c r="F12" s="56" t="s">
        <v>366</v>
      </c>
      <c r="G12" s="56" t="s">
        <v>356</v>
      </c>
      <c r="H12" s="56" t="s">
        <v>339</v>
      </c>
    </row>
    <row r="13" spans="1:8" s="53" customFormat="1" x14ac:dyDescent="0.25">
      <c r="A13" s="18" t="s">
        <v>334</v>
      </c>
      <c r="B13" s="53" t="s">
        <v>367</v>
      </c>
      <c r="C13" s="53" t="s">
        <v>336</v>
      </c>
      <c r="D13" s="53" t="s">
        <v>350</v>
      </c>
      <c r="E13" s="31">
        <f>2352/5280</f>
        <v>0.44545454545454544</v>
      </c>
      <c r="F13" s="53" t="s">
        <v>232</v>
      </c>
      <c r="G13" s="53" t="s">
        <v>368</v>
      </c>
      <c r="H13" s="53" t="s">
        <v>339</v>
      </c>
    </row>
    <row r="14" spans="1:8" s="56" customFormat="1" x14ac:dyDescent="0.25">
      <c r="A14" s="55" t="s">
        <v>334</v>
      </c>
      <c r="B14" s="56" t="s">
        <v>369</v>
      </c>
      <c r="C14" s="56" t="s">
        <v>336</v>
      </c>
      <c r="D14" s="56" t="s">
        <v>370</v>
      </c>
      <c r="E14" s="57" t="s">
        <v>354</v>
      </c>
      <c r="F14" s="56" t="s">
        <v>371</v>
      </c>
      <c r="G14" s="56" t="s">
        <v>372</v>
      </c>
      <c r="H14" s="56" t="s">
        <v>339</v>
      </c>
    </row>
    <row r="15" spans="1:8" s="56" customFormat="1" x14ac:dyDescent="0.25">
      <c r="A15" s="55" t="s">
        <v>334</v>
      </c>
      <c r="B15" s="56" t="s">
        <v>373</v>
      </c>
      <c r="C15" s="56" t="s">
        <v>336</v>
      </c>
      <c r="D15" s="56" t="s">
        <v>370</v>
      </c>
      <c r="E15" s="57" t="s">
        <v>354</v>
      </c>
      <c r="F15" s="56" t="s">
        <v>374</v>
      </c>
      <c r="G15" s="56" t="s">
        <v>375</v>
      </c>
      <c r="H15" s="56" t="s">
        <v>339</v>
      </c>
    </row>
    <row r="16" spans="1:8" s="53" customFormat="1" x14ac:dyDescent="0.25">
      <c r="A16" s="18" t="s">
        <v>334</v>
      </c>
      <c r="B16" s="53" t="s">
        <v>376</v>
      </c>
      <c r="C16" s="53" t="s">
        <v>336</v>
      </c>
      <c r="D16" s="53" t="s">
        <v>370</v>
      </c>
      <c r="E16" s="31">
        <f>732/5280</f>
        <v>0.13863636363636364</v>
      </c>
      <c r="F16" s="53" t="s">
        <v>232</v>
      </c>
      <c r="G16" s="53" t="s">
        <v>377</v>
      </c>
      <c r="H16" s="53" t="s">
        <v>339</v>
      </c>
    </row>
    <row r="17" spans="1:8" s="56" customFormat="1" x14ac:dyDescent="0.25">
      <c r="A17" s="55" t="s">
        <v>334</v>
      </c>
      <c r="B17" s="56" t="s">
        <v>378</v>
      </c>
      <c r="C17" s="56" t="s">
        <v>336</v>
      </c>
      <c r="D17" s="56" t="s">
        <v>370</v>
      </c>
      <c r="E17" s="57" t="s">
        <v>354</v>
      </c>
      <c r="F17" s="56" t="s">
        <v>379</v>
      </c>
      <c r="G17" s="56" t="s">
        <v>380</v>
      </c>
      <c r="H17" s="56" t="s">
        <v>339</v>
      </c>
    </row>
    <row r="18" spans="1:8" s="53" customFormat="1" x14ac:dyDescent="0.25">
      <c r="A18" s="18" t="s">
        <v>334</v>
      </c>
      <c r="B18" s="53" t="s">
        <v>381</v>
      </c>
      <c r="C18" s="53" t="s">
        <v>336</v>
      </c>
      <c r="D18" s="53" t="s">
        <v>382</v>
      </c>
      <c r="E18" s="31">
        <f>800/5280</f>
        <v>0.15151515151515152</v>
      </c>
      <c r="F18" s="53" t="s">
        <v>232</v>
      </c>
      <c r="G18" s="53" t="s">
        <v>383</v>
      </c>
      <c r="H18" s="53" t="s">
        <v>339</v>
      </c>
    </row>
    <row r="19" spans="1:8" s="56" customFormat="1" x14ac:dyDescent="0.25">
      <c r="A19" s="55" t="s">
        <v>334</v>
      </c>
      <c r="B19" s="56" t="s">
        <v>384</v>
      </c>
      <c r="C19" s="56" t="s">
        <v>336</v>
      </c>
      <c r="D19" s="56" t="s">
        <v>382</v>
      </c>
      <c r="E19" s="57" t="s">
        <v>354</v>
      </c>
      <c r="F19" s="56" t="s">
        <v>385</v>
      </c>
      <c r="G19" s="56" t="s">
        <v>386</v>
      </c>
      <c r="H19" s="56" t="s">
        <v>339</v>
      </c>
    </row>
    <row r="20" spans="1:8" s="53" customFormat="1" x14ac:dyDescent="0.25">
      <c r="A20" s="18" t="s">
        <v>334</v>
      </c>
      <c r="B20" s="53" t="s">
        <v>387</v>
      </c>
      <c r="C20" s="53" t="s">
        <v>336</v>
      </c>
      <c r="D20" s="53" t="s">
        <v>382</v>
      </c>
      <c r="E20" s="31">
        <v>0.23</v>
      </c>
      <c r="F20" s="53" t="s">
        <v>232</v>
      </c>
      <c r="G20" s="53" t="s">
        <v>388</v>
      </c>
      <c r="H20" s="53" t="s">
        <v>339</v>
      </c>
    </row>
    <row r="21" spans="1:8" s="53" customFormat="1" x14ac:dyDescent="0.25">
      <c r="A21" s="18" t="s">
        <v>334</v>
      </c>
      <c r="B21" s="53" t="s">
        <v>389</v>
      </c>
      <c r="C21" s="53" t="s">
        <v>336</v>
      </c>
      <c r="D21" s="53" t="s">
        <v>382</v>
      </c>
      <c r="E21" s="31">
        <f>615/5280</f>
        <v>0.11647727272727272</v>
      </c>
      <c r="F21" s="53" t="s">
        <v>154</v>
      </c>
      <c r="G21" s="53" t="s">
        <v>390</v>
      </c>
      <c r="H21" s="53" t="s">
        <v>339</v>
      </c>
    </row>
    <row r="22" spans="1:8" s="53" customFormat="1" x14ac:dyDescent="0.25">
      <c r="A22" s="18" t="s">
        <v>334</v>
      </c>
      <c r="B22" s="53" t="s">
        <v>391</v>
      </c>
      <c r="C22" s="53" t="s">
        <v>336</v>
      </c>
      <c r="D22" s="53" t="s">
        <v>392</v>
      </c>
      <c r="E22" s="31">
        <f>592/5280</f>
        <v>0.11212121212121212</v>
      </c>
      <c r="F22" s="53" t="s">
        <v>232</v>
      </c>
      <c r="G22" s="53" t="s">
        <v>393</v>
      </c>
      <c r="H22" s="53" t="s">
        <v>339</v>
      </c>
    </row>
    <row r="23" spans="1:8" s="53" customFormat="1" x14ac:dyDescent="0.25">
      <c r="A23" s="18" t="s">
        <v>334</v>
      </c>
      <c r="B23" s="53" t="s">
        <v>394</v>
      </c>
      <c r="C23" s="53" t="s">
        <v>336</v>
      </c>
      <c r="D23" s="53" t="s">
        <v>395</v>
      </c>
      <c r="E23" s="31">
        <v>0.21</v>
      </c>
      <c r="F23" s="53" t="s">
        <v>154</v>
      </c>
      <c r="G23" s="53" t="s">
        <v>396</v>
      </c>
      <c r="H23" s="53" t="s">
        <v>339</v>
      </c>
    </row>
    <row r="24" spans="1:8" s="53" customFormat="1" x14ac:dyDescent="0.25">
      <c r="A24" s="18" t="s">
        <v>334</v>
      </c>
      <c r="B24" s="53" t="s">
        <v>397</v>
      </c>
      <c r="C24" s="53" t="s">
        <v>336</v>
      </c>
      <c r="D24" s="53" t="s">
        <v>398</v>
      </c>
      <c r="E24" s="31">
        <f>1369/5280</f>
        <v>0.25928030303030303</v>
      </c>
      <c r="F24" s="53" t="s">
        <v>399</v>
      </c>
      <c r="G24" s="53" t="s">
        <v>400</v>
      </c>
      <c r="H24" s="53" t="s">
        <v>339</v>
      </c>
    </row>
    <row r="25" spans="1:8" s="53" customFormat="1" x14ac:dyDescent="0.25">
      <c r="A25" s="18" t="s">
        <v>334</v>
      </c>
      <c r="B25" s="53" t="s">
        <v>401</v>
      </c>
      <c r="C25" s="53" t="s">
        <v>336</v>
      </c>
      <c r="D25" s="53" t="s">
        <v>398</v>
      </c>
      <c r="E25" s="31">
        <v>0.06</v>
      </c>
      <c r="F25" s="53" t="s">
        <v>402</v>
      </c>
      <c r="G25" s="53" t="s">
        <v>403</v>
      </c>
      <c r="H25" s="53" t="s">
        <v>339</v>
      </c>
    </row>
    <row r="26" spans="1:8" s="53" customFormat="1" x14ac:dyDescent="0.25">
      <c r="A26" s="18" t="s">
        <v>334</v>
      </c>
      <c r="B26" s="53" t="s">
        <v>404</v>
      </c>
      <c r="C26" s="53" t="s">
        <v>336</v>
      </c>
      <c r="D26" s="53" t="s">
        <v>398</v>
      </c>
      <c r="E26" s="31">
        <v>0.16</v>
      </c>
      <c r="F26" s="53" t="s">
        <v>405</v>
      </c>
      <c r="G26" s="53" t="s">
        <v>406</v>
      </c>
      <c r="H26" s="53" t="s">
        <v>339</v>
      </c>
    </row>
    <row r="27" spans="1:8" s="53" customFormat="1" x14ac:dyDescent="0.25">
      <c r="A27" s="18" t="s">
        <v>334</v>
      </c>
      <c r="B27" s="53" t="s">
        <v>407</v>
      </c>
      <c r="C27" s="53" t="s">
        <v>336</v>
      </c>
      <c r="D27" s="53" t="s">
        <v>337</v>
      </c>
      <c r="E27" s="31">
        <f>0.1453+0.157+1.35+0.375+0.16</f>
        <v>2.1873000000000005</v>
      </c>
      <c r="F27" s="53" t="s">
        <v>408</v>
      </c>
      <c r="G27" s="53" t="s">
        <v>409</v>
      </c>
      <c r="H27" s="53" t="s">
        <v>339</v>
      </c>
    </row>
    <row r="28" spans="1:8" s="53" customFormat="1" x14ac:dyDescent="0.25">
      <c r="A28" s="18" t="s">
        <v>334</v>
      </c>
      <c r="B28" s="53" t="s">
        <v>410</v>
      </c>
      <c r="C28" s="53" t="s">
        <v>336</v>
      </c>
      <c r="D28" s="53" t="s">
        <v>411</v>
      </c>
      <c r="E28" s="31">
        <v>0.52</v>
      </c>
      <c r="F28" s="53" t="s">
        <v>154</v>
      </c>
      <c r="G28" s="53" t="s">
        <v>412</v>
      </c>
      <c r="H28" s="53" t="s">
        <v>339</v>
      </c>
    </row>
    <row r="29" spans="1:8" s="56" customFormat="1" x14ac:dyDescent="0.25">
      <c r="A29" s="55" t="s">
        <v>334</v>
      </c>
      <c r="B29" s="56" t="s">
        <v>413</v>
      </c>
      <c r="C29" s="56" t="s">
        <v>336</v>
      </c>
      <c r="D29" s="56" t="s">
        <v>411</v>
      </c>
      <c r="E29" s="57" t="s">
        <v>354</v>
      </c>
      <c r="F29" s="56" t="s">
        <v>414</v>
      </c>
      <c r="G29" s="56" t="s">
        <v>415</v>
      </c>
      <c r="H29" s="56" t="s">
        <v>339</v>
      </c>
    </row>
    <row r="30" spans="1:8" s="53" customFormat="1" x14ac:dyDescent="0.25">
      <c r="A30" s="18" t="s">
        <v>334</v>
      </c>
      <c r="B30" s="53" t="s">
        <v>416</v>
      </c>
      <c r="C30" s="53" t="s">
        <v>336</v>
      </c>
      <c r="D30" s="53" t="s">
        <v>411</v>
      </c>
      <c r="E30" s="31">
        <v>0.26</v>
      </c>
      <c r="F30" s="53" t="s">
        <v>232</v>
      </c>
      <c r="G30" s="53" t="s">
        <v>417</v>
      </c>
      <c r="H30" s="53" t="s">
        <v>339</v>
      </c>
    </row>
    <row r="31" spans="1:8" s="53" customFormat="1" x14ac:dyDescent="0.25">
      <c r="A31" s="18" t="s">
        <v>334</v>
      </c>
      <c r="B31" s="53" t="s">
        <v>418</v>
      </c>
      <c r="C31" s="53" t="s">
        <v>36</v>
      </c>
      <c r="D31" s="53" t="s">
        <v>337</v>
      </c>
      <c r="E31" s="31">
        <v>2.71</v>
      </c>
      <c r="F31" s="53" t="s">
        <v>232</v>
      </c>
      <c r="G31" s="53" t="s">
        <v>419</v>
      </c>
      <c r="H31" s="53" t="s">
        <v>339</v>
      </c>
    </row>
    <row r="32" spans="1:8" s="53" customFormat="1" x14ac:dyDescent="0.25">
      <c r="A32" s="18" t="s">
        <v>334</v>
      </c>
      <c r="B32" s="53" t="s">
        <v>420</v>
      </c>
      <c r="C32" s="53" t="s">
        <v>36</v>
      </c>
      <c r="D32" s="53" t="s">
        <v>337</v>
      </c>
      <c r="E32" s="31">
        <v>0.27</v>
      </c>
      <c r="F32" s="53" t="s">
        <v>232</v>
      </c>
      <c r="G32" s="53" t="s">
        <v>421</v>
      </c>
      <c r="H32" s="53" t="s">
        <v>339</v>
      </c>
    </row>
    <row r="33" spans="1:8" s="53" customFormat="1" x14ac:dyDescent="0.25">
      <c r="A33" s="18" t="s">
        <v>334</v>
      </c>
      <c r="B33" s="53" t="s">
        <v>422</v>
      </c>
      <c r="C33" s="53" t="s">
        <v>36</v>
      </c>
      <c r="D33" s="53" t="s">
        <v>337</v>
      </c>
      <c r="E33" s="31">
        <f>5556/5280</f>
        <v>1.0522727272727272</v>
      </c>
      <c r="F33" s="53" t="s">
        <v>232</v>
      </c>
      <c r="G33" s="53" t="s">
        <v>2068</v>
      </c>
      <c r="H33" s="53" t="s">
        <v>339</v>
      </c>
    </row>
    <row r="34" spans="1:8" s="56" customFormat="1" x14ac:dyDescent="0.25">
      <c r="A34" s="55" t="s">
        <v>334</v>
      </c>
      <c r="B34" s="56" t="s">
        <v>423</v>
      </c>
      <c r="C34" s="56" t="s">
        <v>36</v>
      </c>
      <c r="D34" s="56" t="s">
        <v>424</v>
      </c>
      <c r="E34" s="57" t="s">
        <v>354</v>
      </c>
      <c r="F34" s="56" t="s">
        <v>2070</v>
      </c>
      <c r="G34" s="56" t="s">
        <v>425</v>
      </c>
      <c r="H34" s="56" t="s">
        <v>339</v>
      </c>
    </row>
    <row r="35" spans="1:8" s="56" customFormat="1" x14ac:dyDescent="0.25">
      <c r="A35" s="55" t="s">
        <v>334</v>
      </c>
      <c r="B35" s="56" t="s">
        <v>426</v>
      </c>
      <c r="C35" s="56" t="s">
        <v>36</v>
      </c>
      <c r="D35" s="56" t="s">
        <v>427</v>
      </c>
      <c r="E35" s="57" t="s">
        <v>354</v>
      </c>
      <c r="F35" s="56" t="s">
        <v>428</v>
      </c>
      <c r="G35" s="56" t="s">
        <v>2069</v>
      </c>
      <c r="H35" s="56" t="s">
        <v>339</v>
      </c>
    </row>
    <row r="36" spans="1:8" s="56" customFormat="1" x14ac:dyDescent="0.25">
      <c r="A36" s="55" t="s">
        <v>334</v>
      </c>
      <c r="B36" s="56" t="s">
        <v>2071</v>
      </c>
      <c r="C36" s="56" t="s">
        <v>36</v>
      </c>
      <c r="D36" s="56" t="s">
        <v>337</v>
      </c>
      <c r="E36" s="57" t="s">
        <v>354</v>
      </c>
      <c r="F36" s="56" t="s">
        <v>374</v>
      </c>
      <c r="G36" s="56" t="s">
        <v>2072</v>
      </c>
      <c r="H36" s="56" t="s">
        <v>339</v>
      </c>
    </row>
    <row r="37" spans="1:8" s="56" customFormat="1" x14ac:dyDescent="0.25">
      <c r="A37" s="55" t="s">
        <v>334</v>
      </c>
      <c r="B37" s="56" t="s">
        <v>2073</v>
      </c>
      <c r="C37" s="56" t="s">
        <v>36</v>
      </c>
      <c r="D37" s="56" t="s">
        <v>337</v>
      </c>
      <c r="E37" s="57" t="s">
        <v>354</v>
      </c>
      <c r="F37" s="56" t="s">
        <v>2074</v>
      </c>
      <c r="G37" s="56" t="s">
        <v>2075</v>
      </c>
      <c r="H37" s="56" t="s">
        <v>339</v>
      </c>
    </row>
    <row r="38" spans="1:8" s="56" customFormat="1" x14ac:dyDescent="0.25">
      <c r="A38" s="55" t="s">
        <v>334</v>
      </c>
      <c r="B38" s="56" t="s">
        <v>2076</v>
      </c>
      <c r="C38" s="56" t="s">
        <v>36</v>
      </c>
      <c r="D38" s="56" t="s">
        <v>337</v>
      </c>
      <c r="E38" s="57" t="s">
        <v>354</v>
      </c>
      <c r="F38" s="56" t="s">
        <v>448</v>
      </c>
      <c r="G38" s="56" t="s">
        <v>2079</v>
      </c>
      <c r="H38" s="56" t="s">
        <v>339</v>
      </c>
    </row>
    <row r="39" spans="1:8" s="56" customFormat="1" x14ac:dyDescent="0.25">
      <c r="A39" s="55" t="s">
        <v>334</v>
      </c>
      <c r="B39" s="56" t="s">
        <v>2077</v>
      </c>
      <c r="C39" s="56" t="s">
        <v>36</v>
      </c>
      <c r="D39" s="56" t="s">
        <v>337</v>
      </c>
      <c r="E39" s="57" t="s">
        <v>354</v>
      </c>
      <c r="F39" s="56" t="s">
        <v>232</v>
      </c>
      <c r="G39" s="56" t="s">
        <v>2078</v>
      </c>
      <c r="H39" s="56" t="s">
        <v>339</v>
      </c>
    </row>
    <row r="40" spans="1:8" s="54" customFormat="1" x14ac:dyDescent="0.25">
      <c r="A40" s="32" t="s">
        <v>334</v>
      </c>
      <c r="B40" s="54" t="s">
        <v>2085</v>
      </c>
      <c r="C40" s="54" t="s">
        <v>36</v>
      </c>
      <c r="D40" s="4" t="s">
        <v>2093</v>
      </c>
      <c r="E40" s="60">
        <f>15529/5280</f>
        <v>2.9410984848484847</v>
      </c>
      <c r="F40" s="54" t="s">
        <v>428</v>
      </c>
      <c r="G40" s="54" t="s">
        <v>2086</v>
      </c>
      <c r="H40" s="54" t="s">
        <v>339</v>
      </c>
    </row>
    <row r="41" spans="1:8" s="54" customFormat="1" x14ac:dyDescent="0.25">
      <c r="A41" s="32" t="s">
        <v>334</v>
      </c>
      <c r="B41" s="54" t="s">
        <v>2080</v>
      </c>
      <c r="C41" s="54" t="s">
        <v>36</v>
      </c>
      <c r="D41" s="4" t="s">
        <v>337</v>
      </c>
      <c r="E41" s="60">
        <f>3104/5280</f>
        <v>0.58787878787878789</v>
      </c>
      <c r="F41" s="54" t="s">
        <v>428</v>
      </c>
      <c r="G41" s="54" t="s">
        <v>2087</v>
      </c>
      <c r="H41" s="54" t="s">
        <v>339</v>
      </c>
    </row>
    <row r="42" spans="1:8" s="53" customFormat="1" x14ac:dyDescent="0.25">
      <c r="A42" s="18" t="s">
        <v>334</v>
      </c>
      <c r="B42" s="53" t="s">
        <v>429</v>
      </c>
      <c r="C42" s="53" t="s">
        <v>36</v>
      </c>
      <c r="D42" s="53" t="s">
        <v>430</v>
      </c>
      <c r="E42" s="31">
        <f>(12700)/5280</f>
        <v>2.4053030303030303</v>
      </c>
      <c r="F42" s="53" t="s">
        <v>431</v>
      </c>
      <c r="G42" s="53" t="s">
        <v>2088</v>
      </c>
      <c r="H42" s="53" t="s">
        <v>339</v>
      </c>
    </row>
    <row r="43" spans="1:8" s="53" customFormat="1" x14ac:dyDescent="0.25">
      <c r="A43" s="18" t="s">
        <v>334</v>
      </c>
      <c r="B43" s="53" t="s">
        <v>432</v>
      </c>
      <c r="C43" s="53" t="s">
        <v>36</v>
      </c>
      <c r="D43" s="53" t="s">
        <v>430</v>
      </c>
      <c r="E43" s="31">
        <f>(1234+2373)/5280</f>
        <v>0.68314393939393936</v>
      </c>
      <c r="F43" s="53" t="s">
        <v>428</v>
      </c>
      <c r="G43" s="53" t="s">
        <v>2089</v>
      </c>
      <c r="H43" s="53" t="s">
        <v>339</v>
      </c>
    </row>
    <row r="44" spans="1:8" s="54" customFormat="1" x14ac:dyDescent="0.25">
      <c r="A44" s="32" t="s">
        <v>334</v>
      </c>
      <c r="B44" s="54" t="s">
        <v>2081</v>
      </c>
      <c r="C44" s="54" t="s">
        <v>36</v>
      </c>
      <c r="D44" s="4" t="s">
        <v>337</v>
      </c>
      <c r="E44" s="60">
        <f>1830/5280</f>
        <v>0.34659090909090912</v>
      </c>
      <c r="F44" s="54" t="s">
        <v>428</v>
      </c>
      <c r="G44" s="54" t="s">
        <v>2090</v>
      </c>
      <c r="H44" s="54" t="s">
        <v>339</v>
      </c>
    </row>
    <row r="45" spans="1:8" s="54" customFormat="1" x14ac:dyDescent="0.25">
      <c r="A45" s="32" t="s">
        <v>334</v>
      </c>
      <c r="B45" s="54" t="s">
        <v>2082</v>
      </c>
      <c r="C45" s="54" t="s">
        <v>36</v>
      </c>
      <c r="D45" s="4" t="s">
        <v>337</v>
      </c>
      <c r="E45" s="60">
        <f>22506/5280</f>
        <v>4.2625000000000002</v>
      </c>
      <c r="F45" s="54" t="s">
        <v>428</v>
      </c>
      <c r="G45" s="54" t="s">
        <v>2091</v>
      </c>
      <c r="H45" s="54" t="s">
        <v>339</v>
      </c>
    </row>
    <row r="46" spans="1:8" s="54" customFormat="1" x14ac:dyDescent="0.25">
      <c r="A46" s="32" t="s">
        <v>334</v>
      </c>
      <c r="B46" s="54" t="s">
        <v>2083</v>
      </c>
      <c r="C46" s="54" t="s">
        <v>36</v>
      </c>
      <c r="D46" s="4" t="s">
        <v>337</v>
      </c>
      <c r="E46" s="60">
        <f>4966/5280</f>
        <v>0.94053030303030305</v>
      </c>
      <c r="F46" s="54" t="s">
        <v>428</v>
      </c>
      <c r="G46" s="54" t="s">
        <v>2092</v>
      </c>
      <c r="H46" s="54" t="s">
        <v>339</v>
      </c>
    </row>
    <row r="47" spans="1:8" s="54" customFormat="1" x14ac:dyDescent="0.25">
      <c r="A47" s="32" t="s">
        <v>334</v>
      </c>
      <c r="B47" s="54" t="s">
        <v>2084</v>
      </c>
      <c r="C47" s="54" t="s">
        <v>36</v>
      </c>
      <c r="D47" s="4" t="s">
        <v>337</v>
      </c>
      <c r="E47" s="60">
        <f>874/5280</f>
        <v>0.16553030303030303</v>
      </c>
      <c r="F47" s="54" t="s">
        <v>428</v>
      </c>
      <c r="G47" s="54" t="s">
        <v>2094</v>
      </c>
      <c r="H47" s="54" t="s">
        <v>339</v>
      </c>
    </row>
    <row r="48" spans="1:8" s="56" customFormat="1" x14ac:dyDescent="0.25">
      <c r="A48" s="55" t="s">
        <v>334</v>
      </c>
      <c r="B48" s="56" t="s">
        <v>433</v>
      </c>
      <c r="C48" s="56" t="s">
        <v>434</v>
      </c>
      <c r="D48" s="56" t="s">
        <v>337</v>
      </c>
      <c r="E48" s="57" t="s">
        <v>354</v>
      </c>
      <c r="F48" s="56" t="s">
        <v>435</v>
      </c>
      <c r="G48" s="56" t="s">
        <v>436</v>
      </c>
      <c r="H48" s="56" t="s">
        <v>339</v>
      </c>
    </row>
    <row r="49" spans="1:8" s="56" customFormat="1" x14ac:dyDescent="0.25">
      <c r="A49" s="55" t="s">
        <v>334</v>
      </c>
      <c r="B49" s="56" t="s">
        <v>437</v>
      </c>
      <c r="C49" s="56" t="s">
        <v>434</v>
      </c>
      <c r="D49" s="56" t="s">
        <v>438</v>
      </c>
      <c r="E49" s="57" t="s">
        <v>354</v>
      </c>
      <c r="F49" s="56" t="s">
        <v>371</v>
      </c>
      <c r="G49" s="56" t="s">
        <v>439</v>
      </c>
      <c r="H49" s="56" t="s">
        <v>339</v>
      </c>
    </row>
    <row r="50" spans="1:8" s="56" customFormat="1" x14ac:dyDescent="0.25">
      <c r="A50" s="55" t="s">
        <v>334</v>
      </c>
      <c r="B50" s="56" t="s">
        <v>440</v>
      </c>
      <c r="C50" s="56" t="s">
        <v>434</v>
      </c>
      <c r="D50" s="56" t="s">
        <v>438</v>
      </c>
      <c r="E50" s="57" t="s">
        <v>354</v>
      </c>
      <c r="F50" s="56" t="s">
        <v>441</v>
      </c>
      <c r="G50" s="56" t="s">
        <v>442</v>
      </c>
      <c r="H50" s="56" t="s">
        <v>339</v>
      </c>
    </row>
    <row r="51" spans="1:8" s="56" customFormat="1" x14ac:dyDescent="0.25">
      <c r="A51" s="55" t="s">
        <v>334</v>
      </c>
      <c r="B51" s="56" t="s">
        <v>443</v>
      </c>
      <c r="C51" s="56" t="s">
        <v>434</v>
      </c>
      <c r="D51" s="56" t="s">
        <v>438</v>
      </c>
      <c r="E51" s="57" t="s">
        <v>354</v>
      </c>
      <c r="F51" s="56" t="s">
        <v>444</v>
      </c>
      <c r="G51" s="56" t="s">
        <v>445</v>
      </c>
      <c r="H51" s="56" t="s">
        <v>339</v>
      </c>
    </row>
    <row r="52" spans="1:8" s="56" customFormat="1" x14ac:dyDescent="0.25">
      <c r="A52" s="55" t="s">
        <v>334</v>
      </c>
      <c r="B52" s="56" t="s">
        <v>446</v>
      </c>
      <c r="C52" s="56" t="s">
        <v>468</v>
      </c>
      <c r="D52" s="56" t="s">
        <v>447</v>
      </c>
      <c r="E52" s="57" t="s">
        <v>354</v>
      </c>
      <c r="F52" s="56" t="s">
        <v>448</v>
      </c>
      <c r="G52" s="56" t="s">
        <v>449</v>
      </c>
      <c r="H52" s="56" t="s">
        <v>339</v>
      </c>
    </row>
    <row r="53" spans="1:8" s="56" customFormat="1" x14ac:dyDescent="0.25">
      <c r="A53" s="55" t="s">
        <v>334</v>
      </c>
      <c r="B53" s="56" t="s">
        <v>450</v>
      </c>
      <c r="C53" s="56" t="s">
        <v>468</v>
      </c>
      <c r="D53" s="56" t="s">
        <v>447</v>
      </c>
      <c r="E53" s="57" t="s">
        <v>354</v>
      </c>
      <c r="F53" s="56" t="s">
        <v>441</v>
      </c>
      <c r="G53" s="56" t="s">
        <v>451</v>
      </c>
      <c r="H53" s="56" t="s">
        <v>339</v>
      </c>
    </row>
    <row r="54" spans="1:8" s="54" customFormat="1" x14ac:dyDescent="0.25">
      <c r="A54" s="32" t="s">
        <v>334</v>
      </c>
      <c r="B54" s="54" t="s">
        <v>2096</v>
      </c>
      <c r="C54" s="54" t="s">
        <v>468</v>
      </c>
      <c r="D54" s="54" t="s">
        <v>337</v>
      </c>
      <c r="E54" s="60">
        <f>6496/5280</f>
        <v>1.2303030303030302</v>
      </c>
      <c r="F54" s="54" t="s">
        <v>9</v>
      </c>
      <c r="G54" s="54" t="s">
        <v>2095</v>
      </c>
      <c r="H54" s="54" t="s">
        <v>339</v>
      </c>
    </row>
    <row r="55" spans="1:8" s="54" customFormat="1" x14ac:dyDescent="0.25">
      <c r="A55" s="32" t="s">
        <v>334</v>
      </c>
      <c r="B55" s="54" t="s">
        <v>2097</v>
      </c>
      <c r="C55" s="54" t="s">
        <v>434</v>
      </c>
      <c r="D55" s="54" t="s">
        <v>2098</v>
      </c>
      <c r="E55" s="60">
        <f>1805/5280</f>
        <v>0.34185606060606061</v>
      </c>
      <c r="F55" s="54" t="s">
        <v>232</v>
      </c>
      <c r="G55" s="54" t="s">
        <v>2099</v>
      </c>
      <c r="H55" s="54" t="s">
        <v>339</v>
      </c>
    </row>
    <row r="56" spans="1:8" s="56" customFormat="1" x14ac:dyDescent="0.25">
      <c r="A56" s="55" t="s">
        <v>334</v>
      </c>
      <c r="B56" s="56" t="s">
        <v>452</v>
      </c>
      <c r="C56" s="56" t="s">
        <v>434</v>
      </c>
      <c r="D56" s="56" t="s">
        <v>453</v>
      </c>
      <c r="E56" s="57" t="s">
        <v>354</v>
      </c>
      <c r="F56" s="56" t="s">
        <v>454</v>
      </c>
      <c r="G56" s="56" t="s">
        <v>455</v>
      </c>
      <c r="H56" s="56" t="s">
        <v>339</v>
      </c>
    </row>
    <row r="57" spans="1:8" s="56" customFormat="1" x14ac:dyDescent="0.25">
      <c r="A57" s="55" t="s">
        <v>334</v>
      </c>
      <c r="B57" s="58" t="s">
        <v>456</v>
      </c>
      <c r="C57" s="56" t="s">
        <v>434</v>
      </c>
      <c r="D57" s="56" t="s">
        <v>453</v>
      </c>
      <c r="E57" s="57" t="s">
        <v>354</v>
      </c>
      <c r="F57" s="56" t="s">
        <v>454</v>
      </c>
      <c r="G57" s="56" t="s">
        <v>457</v>
      </c>
      <c r="H57" s="56" t="s">
        <v>339</v>
      </c>
    </row>
    <row r="58" spans="1:8" s="56" customFormat="1" x14ac:dyDescent="0.25">
      <c r="A58" s="55" t="s">
        <v>334</v>
      </c>
      <c r="B58" s="56" t="s">
        <v>458</v>
      </c>
      <c r="C58" s="56" t="s">
        <v>434</v>
      </c>
      <c r="D58" s="56" t="s">
        <v>453</v>
      </c>
      <c r="E58" s="57" t="s">
        <v>354</v>
      </c>
      <c r="F58" s="56" t="s">
        <v>459</v>
      </c>
      <c r="G58" s="56" t="s">
        <v>460</v>
      </c>
      <c r="H58" s="56" t="s">
        <v>339</v>
      </c>
    </row>
    <row r="59" spans="1:8" s="56" customFormat="1" x14ac:dyDescent="0.25">
      <c r="A59" s="55" t="s">
        <v>334</v>
      </c>
      <c r="B59" s="56" t="s">
        <v>461</v>
      </c>
      <c r="C59" s="56" t="s">
        <v>434</v>
      </c>
      <c r="D59" s="56" t="s">
        <v>453</v>
      </c>
      <c r="E59" s="57" t="s">
        <v>354</v>
      </c>
      <c r="F59" s="56" t="s">
        <v>361</v>
      </c>
      <c r="G59" s="56" t="s">
        <v>462</v>
      </c>
      <c r="H59" s="56" t="s">
        <v>339</v>
      </c>
    </row>
    <row r="60" spans="1:8" s="53" customFormat="1" x14ac:dyDescent="0.25">
      <c r="A60" s="32" t="s">
        <v>334</v>
      </c>
      <c r="B60" s="54" t="s">
        <v>463</v>
      </c>
      <c r="C60" s="54" t="s">
        <v>434</v>
      </c>
      <c r="D60" s="54" t="s">
        <v>337</v>
      </c>
      <c r="E60" s="31">
        <v>1.26</v>
      </c>
      <c r="F60" s="54" t="s">
        <v>154</v>
      </c>
      <c r="G60" s="54" t="s">
        <v>464</v>
      </c>
      <c r="H60" s="53" t="s">
        <v>339</v>
      </c>
    </row>
    <row r="61" spans="1:8" s="56" customFormat="1" x14ac:dyDescent="0.25">
      <c r="A61" s="55" t="s">
        <v>334</v>
      </c>
      <c r="B61" s="56" t="s">
        <v>465</v>
      </c>
      <c r="C61" s="56" t="s">
        <v>434</v>
      </c>
      <c r="D61" s="56" t="s">
        <v>453</v>
      </c>
      <c r="E61" s="57" t="s">
        <v>354</v>
      </c>
      <c r="F61" s="56" t="s">
        <v>448</v>
      </c>
      <c r="G61" s="56" t="s">
        <v>466</v>
      </c>
      <c r="H61" s="56" t="s">
        <v>339</v>
      </c>
    </row>
    <row r="62" spans="1:8" s="56" customFormat="1" x14ac:dyDescent="0.25">
      <c r="A62" s="55" t="s">
        <v>334</v>
      </c>
      <c r="B62" s="56" t="s">
        <v>416</v>
      </c>
      <c r="C62" s="56" t="s">
        <v>468</v>
      </c>
      <c r="D62" s="56" t="s">
        <v>469</v>
      </c>
      <c r="E62" s="57" t="s">
        <v>354</v>
      </c>
      <c r="F62" s="56" t="s">
        <v>560</v>
      </c>
      <c r="G62" s="56" t="s">
        <v>2100</v>
      </c>
      <c r="H62" s="56" t="s">
        <v>339</v>
      </c>
    </row>
    <row r="63" spans="1:8" s="53" customFormat="1" x14ac:dyDescent="0.25">
      <c r="A63" s="32" t="s">
        <v>334</v>
      </c>
      <c r="B63" s="54" t="s">
        <v>467</v>
      </c>
      <c r="C63" s="54" t="s">
        <v>468</v>
      </c>
      <c r="D63" s="54" t="s">
        <v>469</v>
      </c>
      <c r="E63" s="31">
        <f>1068/5280</f>
        <v>0.20227272727272727</v>
      </c>
      <c r="F63" s="54" t="s">
        <v>232</v>
      </c>
      <c r="G63" s="54" t="s">
        <v>2101</v>
      </c>
      <c r="H63" s="53" t="s">
        <v>339</v>
      </c>
    </row>
    <row r="64" spans="1:8" s="53" customFormat="1" x14ac:dyDescent="0.25">
      <c r="A64" s="32" t="s">
        <v>334</v>
      </c>
      <c r="B64" s="54" t="s">
        <v>470</v>
      </c>
      <c r="C64" s="54" t="s">
        <v>468</v>
      </c>
      <c r="D64" s="54" t="s">
        <v>469</v>
      </c>
      <c r="E64" s="31">
        <v>0.16</v>
      </c>
      <c r="F64" s="54" t="s">
        <v>232</v>
      </c>
      <c r="H64" s="53" t="s">
        <v>339</v>
      </c>
    </row>
    <row r="65" spans="1:8" s="53" customFormat="1" x14ac:dyDescent="0.25">
      <c r="A65" s="18" t="s">
        <v>334</v>
      </c>
      <c r="B65" s="53" t="s">
        <v>471</v>
      </c>
      <c r="C65" s="53" t="s">
        <v>434</v>
      </c>
      <c r="D65" s="53" t="s">
        <v>472</v>
      </c>
      <c r="E65" s="60">
        <f>2761/5280</f>
        <v>0.5229166666666667</v>
      </c>
      <c r="F65" s="54" t="s">
        <v>219</v>
      </c>
      <c r="G65" s="53" t="s">
        <v>473</v>
      </c>
      <c r="H65" s="53" t="s">
        <v>339</v>
      </c>
    </row>
    <row r="66" spans="1:8" s="56" customFormat="1" x14ac:dyDescent="0.25">
      <c r="A66" s="55" t="s">
        <v>334</v>
      </c>
      <c r="B66" s="56" t="s">
        <v>474</v>
      </c>
      <c r="C66" s="56" t="s">
        <v>434</v>
      </c>
      <c r="D66" s="56" t="s">
        <v>475</v>
      </c>
      <c r="E66" s="59" t="s">
        <v>354</v>
      </c>
      <c r="F66" s="56" t="s">
        <v>476</v>
      </c>
      <c r="G66" s="56" t="s">
        <v>477</v>
      </c>
      <c r="H66" s="56" t="s">
        <v>339</v>
      </c>
    </row>
    <row r="67" spans="1:8" s="53" customFormat="1" x14ac:dyDescent="0.25">
      <c r="A67" s="18" t="s">
        <v>334</v>
      </c>
      <c r="B67" s="53" t="s">
        <v>133</v>
      </c>
      <c r="C67" s="53" t="s">
        <v>434</v>
      </c>
      <c r="D67" s="53" t="s">
        <v>475</v>
      </c>
      <c r="E67" s="36">
        <v>0.22</v>
      </c>
      <c r="F67" s="54" t="s">
        <v>232</v>
      </c>
      <c r="G67" s="54" t="s">
        <v>478</v>
      </c>
      <c r="H67" s="53" t="s">
        <v>339</v>
      </c>
    </row>
    <row r="68" spans="1:8" s="56" customFormat="1" x14ac:dyDescent="0.25">
      <c r="A68" s="55" t="s">
        <v>334</v>
      </c>
      <c r="B68" s="56" t="s">
        <v>479</v>
      </c>
      <c r="C68" s="56" t="s">
        <v>434</v>
      </c>
      <c r="D68" s="56" t="s">
        <v>475</v>
      </c>
      <c r="E68" s="59" t="s">
        <v>354</v>
      </c>
      <c r="F68" s="56" t="s">
        <v>480</v>
      </c>
      <c r="G68" s="56" t="s">
        <v>481</v>
      </c>
      <c r="H68" s="56" t="s">
        <v>339</v>
      </c>
    </row>
    <row r="69" spans="1:8" s="56" customFormat="1" x14ac:dyDescent="0.25">
      <c r="A69" s="55" t="s">
        <v>334</v>
      </c>
      <c r="B69" s="56" t="s">
        <v>482</v>
      </c>
      <c r="C69" s="56" t="s">
        <v>434</v>
      </c>
      <c r="D69" s="56" t="s">
        <v>475</v>
      </c>
      <c r="E69" s="59" t="s">
        <v>354</v>
      </c>
      <c r="F69" s="56" t="s">
        <v>483</v>
      </c>
      <c r="G69" s="56" t="s">
        <v>484</v>
      </c>
      <c r="H69" s="56" t="s">
        <v>339</v>
      </c>
    </row>
    <row r="70" spans="1:8" s="53" customFormat="1" x14ac:dyDescent="0.25">
      <c r="A70" s="18" t="s">
        <v>334</v>
      </c>
      <c r="B70" s="53" t="s">
        <v>485</v>
      </c>
      <c r="C70" s="53" t="s">
        <v>434</v>
      </c>
      <c r="D70" s="53" t="s">
        <v>475</v>
      </c>
      <c r="E70" s="31">
        <f>3609/5280</f>
        <v>0.68352272727272723</v>
      </c>
      <c r="F70" s="54" t="s">
        <v>219</v>
      </c>
      <c r="G70" s="54" t="s">
        <v>486</v>
      </c>
      <c r="H70" s="53" t="s">
        <v>339</v>
      </c>
    </row>
    <row r="71" spans="1:8" s="56" customFormat="1" x14ac:dyDescent="0.25">
      <c r="A71" s="55" t="s">
        <v>334</v>
      </c>
      <c r="B71" s="56" t="s">
        <v>487</v>
      </c>
      <c r="C71" s="56" t="s">
        <v>434</v>
      </c>
      <c r="D71" s="56" t="s">
        <v>475</v>
      </c>
      <c r="E71" s="59" t="s">
        <v>354</v>
      </c>
      <c r="F71" s="56" t="s">
        <v>488</v>
      </c>
      <c r="G71" s="56" t="s">
        <v>489</v>
      </c>
      <c r="H71" s="56" t="s">
        <v>339</v>
      </c>
    </row>
    <row r="72" spans="1:8" s="53" customFormat="1" x14ac:dyDescent="0.25">
      <c r="A72" s="18" t="s">
        <v>334</v>
      </c>
      <c r="B72" s="53" t="s">
        <v>490</v>
      </c>
      <c r="C72" s="53" t="s">
        <v>434</v>
      </c>
      <c r="D72" s="53" t="s">
        <v>491</v>
      </c>
      <c r="E72" s="31">
        <f>1847/5280</f>
        <v>0.34981060606060604</v>
      </c>
      <c r="F72" s="54" t="s">
        <v>492</v>
      </c>
      <c r="G72" s="54" t="s">
        <v>2102</v>
      </c>
      <c r="H72" s="53" t="s">
        <v>339</v>
      </c>
    </row>
    <row r="73" spans="1:8" s="56" customFormat="1" x14ac:dyDescent="0.25">
      <c r="A73" s="55" t="s">
        <v>334</v>
      </c>
      <c r="B73" s="56" t="s">
        <v>493</v>
      </c>
      <c r="C73" s="56" t="s">
        <v>434</v>
      </c>
      <c r="D73" s="56" t="s">
        <v>491</v>
      </c>
      <c r="E73" s="59" t="s">
        <v>354</v>
      </c>
      <c r="F73" s="56" t="s">
        <v>494</v>
      </c>
      <c r="G73" s="56" t="s">
        <v>495</v>
      </c>
      <c r="H73" s="56" t="s">
        <v>339</v>
      </c>
    </row>
    <row r="74" spans="1:8" s="56" customFormat="1" x14ac:dyDescent="0.25">
      <c r="A74" s="55" t="s">
        <v>334</v>
      </c>
      <c r="B74" s="56" t="s">
        <v>496</v>
      </c>
      <c r="C74" s="56" t="s">
        <v>434</v>
      </c>
      <c r="D74" s="56" t="s">
        <v>491</v>
      </c>
      <c r="E74" s="59" t="s">
        <v>354</v>
      </c>
      <c r="F74" s="56" t="s">
        <v>497</v>
      </c>
      <c r="G74" s="56" t="s">
        <v>498</v>
      </c>
      <c r="H74" s="56" t="s">
        <v>339</v>
      </c>
    </row>
    <row r="75" spans="1:8" s="56" customFormat="1" x14ac:dyDescent="0.25">
      <c r="A75" s="55" t="s">
        <v>334</v>
      </c>
      <c r="B75" s="56" t="s">
        <v>499</v>
      </c>
      <c r="C75" s="56" t="s">
        <v>434</v>
      </c>
      <c r="D75" s="56" t="s">
        <v>491</v>
      </c>
      <c r="E75" s="59" t="s">
        <v>354</v>
      </c>
      <c r="F75" s="56" t="s">
        <v>2103</v>
      </c>
      <c r="G75" s="56" t="s">
        <v>500</v>
      </c>
      <c r="H75" s="56" t="s">
        <v>339</v>
      </c>
    </row>
    <row r="76" spans="1:8" s="53" customFormat="1" x14ac:dyDescent="0.25">
      <c r="A76" s="18" t="s">
        <v>334</v>
      </c>
      <c r="B76" s="53" t="s">
        <v>501</v>
      </c>
      <c r="C76" s="53" t="s">
        <v>434</v>
      </c>
      <c r="D76" s="53" t="s">
        <v>502</v>
      </c>
      <c r="E76" s="19">
        <v>3.86</v>
      </c>
      <c r="F76" s="54" t="s">
        <v>154</v>
      </c>
      <c r="G76" s="54" t="s">
        <v>503</v>
      </c>
      <c r="H76" s="53" t="s">
        <v>339</v>
      </c>
    </row>
    <row r="77" spans="1:8" s="53" customFormat="1" x14ac:dyDescent="0.25">
      <c r="A77" s="18" t="s">
        <v>334</v>
      </c>
      <c r="B77" s="53" t="s">
        <v>504</v>
      </c>
      <c r="C77" s="53" t="s">
        <v>434</v>
      </c>
      <c r="D77" s="53" t="s">
        <v>505</v>
      </c>
      <c r="E77" s="31">
        <f>13098/5280</f>
        <v>2.480681818181818</v>
      </c>
      <c r="F77" s="54" t="s">
        <v>2104</v>
      </c>
      <c r="G77" s="53" t="s">
        <v>2105</v>
      </c>
      <c r="H77" s="53" t="s">
        <v>339</v>
      </c>
    </row>
    <row r="78" spans="1:8" s="53" customFormat="1" x14ac:dyDescent="0.25">
      <c r="A78" s="18" t="s">
        <v>334</v>
      </c>
      <c r="B78" s="53" t="s">
        <v>506</v>
      </c>
      <c r="C78" s="53" t="s">
        <v>434</v>
      </c>
      <c r="D78" s="53" t="s">
        <v>505</v>
      </c>
      <c r="E78" s="31">
        <f>788/5280</f>
        <v>0.14924242424242423</v>
      </c>
      <c r="F78" s="54" t="s">
        <v>507</v>
      </c>
      <c r="G78" s="54" t="s">
        <v>508</v>
      </c>
      <c r="H78" s="53" t="s">
        <v>339</v>
      </c>
    </row>
    <row r="79" spans="1:8" s="53" customFormat="1" x14ac:dyDescent="0.25">
      <c r="A79" s="18" t="s">
        <v>334</v>
      </c>
      <c r="B79" s="53" t="s">
        <v>509</v>
      </c>
      <c r="C79" s="53" t="s">
        <v>434</v>
      </c>
      <c r="D79" s="53" t="s">
        <v>510</v>
      </c>
      <c r="E79" s="19">
        <v>0.16</v>
      </c>
      <c r="F79" s="54" t="s">
        <v>511</v>
      </c>
      <c r="G79" s="54" t="s">
        <v>512</v>
      </c>
      <c r="H79" s="53" t="s">
        <v>339</v>
      </c>
    </row>
    <row r="80" spans="1:8" s="53" customFormat="1" x14ac:dyDescent="0.25">
      <c r="A80" s="18" t="s">
        <v>334</v>
      </c>
      <c r="B80" s="53" t="s">
        <v>513</v>
      </c>
      <c r="C80" s="53" t="s">
        <v>434</v>
      </c>
      <c r="D80" s="53" t="s">
        <v>337</v>
      </c>
      <c r="E80" s="36">
        <v>0.38</v>
      </c>
      <c r="F80" s="53" t="s">
        <v>28</v>
      </c>
      <c r="G80" s="54" t="s">
        <v>1143</v>
      </c>
      <c r="H80" s="53" t="s">
        <v>339</v>
      </c>
    </row>
    <row r="81" spans="1:8" s="53" customFormat="1" x14ac:dyDescent="0.25">
      <c r="A81" s="18" t="s">
        <v>334</v>
      </c>
      <c r="B81" s="53" t="s">
        <v>514</v>
      </c>
      <c r="C81" s="53" t="s">
        <v>434</v>
      </c>
      <c r="D81" s="53" t="s">
        <v>515</v>
      </c>
      <c r="E81" s="19">
        <v>0.18</v>
      </c>
      <c r="F81" s="53" t="s">
        <v>13</v>
      </c>
      <c r="G81" s="54" t="s">
        <v>2111</v>
      </c>
      <c r="H81" s="53" t="s">
        <v>339</v>
      </c>
    </row>
    <row r="82" spans="1:8" s="56" customFormat="1" x14ac:dyDescent="0.25">
      <c r="A82" s="55" t="s">
        <v>334</v>
      </c>
      <c r="B82" s="56" t="s">
        <v>516</v>
      </c>
      <c r="C82" s="56" t="s">
        <v>517</v>
      </c>
      <c r="D82" s="56" t="s">
        <v>518</v>
      </c>
      <c r="E82" s="59" t="s">
        <v>354</v>
      </c>
      <c r="F82" s="56" t="s">
        <v>519</v>
      </c>
      <c r="G82" s="56" t="s">
        <v>520</v>
      </c>
      <c r="H82" s="56" t="s">
        <v>339</v>
      </c>
    </row>
    <row r="83" spans="1:8" s="53" customFormat="1" x14ac:dyDescent="0.25">
      <c r="A83" s="18" t="s">
        <v>334</v>
      </c>
      <c r="B83" s="53" t="s">
        <v>521</v>
      </c>
      <c r="C83" s="53" t="s">
        <v>517</v>
      </c>
      <c r="D83" s="53" t="s">
        <v>337</v>
      </c>
      <c r="E83" s="36">
        <v>0.44</v>
      </c>
      <c r="F83" s="53" t="s">
        <v>154</v>
      </c>
      <c r="G83" s="53" t="s">
        <v>522</v>
      </c>
      <c r="H83" s="53" t="s">
        <v>339</v>
      </c>
    </row>
    <row r="84" spans="1:8" s="53" customFormat="1" x14ac:dyDescent="0.25">
      <c r="A84" s="18" t="s">
        <v>334</v>
      </c>
      <c r="B84" s="53" t="s">
        <v>523</v>
      </c>
      <c r="C84" s="53" t="s">
        <v>517</v>
      </c>
      <c r="D84" s="53" t="s">
        <v>524</v>
      </c>
      <c r="E84" s="19">
        <v>0.28000000000000003</v>
      </c>
      <c r="F84" s="53" t="s">
        <v>154</v>
      </c>
      <c r="G84" s="53" t="s">
        <v>525</v>
      </c>
      <c r="H84" s="53" t="s">
        <v>339</v>
      </c>
    </row>
    <row r="85" spans="1:8" s="53" customFormat="1" x14ac:dyDescent="0.25">
      <c r="A85" s="18" t="s">
        <v>334</v>
      </c>
      <c r="B85" s="53" t="s">
        <v>526</v>
      </c>
      <c r="C85" s="53" t="s">
        <v>517</v>
      </c>
      <c r="D85" s="53" t="s">
        <v>524</v>
      </c>
      <c r="E85" s="19">
        <v>0.44</v>
      </c>
      <c r="F85" s="53" t="s">
        <v>154</v>
      </c>
      <c r="G85" s="53" t="s">
        <v>527</v>
      </c>
      <c r="H85" s="53" t="s">
        <v>339</v>
      </c>
    </row>
    <row r="86" spans="1:8" s="56" customFormat="1" x14ac:dyDescent="0.25">
      <c r="A86" s="55" t="s">
        <v>334</v>
      </c>
      <c r="B86" s="56" t="s">
        <v>528</v>
      </c>
      <c r="C86" s="56" t="s">
        <v>517</v>
      </c>
      <c r="D86" s="56" t="s">
        <v>524</v>
      </c>
      <c r="E86" s="59" t="s">
        <v>354</v>
      </c>
      <c r="F86" s="56" t="s">
        <v>529</v>
      </c>
      <c r="G86" s="56" t="s">
        <v>530</v>
      </c>
      <c r="H86" s="56" t="s">
        <v>339</v>
      </c>
    </row>
    <row r="87" spans="1:8" s="53" customFormat="1" x14ac:dyDescent="0.25">
      <c r="A87" s="18" t="s">
        <v>334</v>
      </c>
      <c r="B87" s="53" t="s">
        <v>531</v>
      </c>
      <c r="C87" s="53" t="s">
        <v>517</v>
      </c>
      <c r="D87" s="53" t="s">
        <v>334</v>
      </c>
      <c r="E87" s="31">
        <f>4147/5280</f>
        <v>0.78541666666666665</v>
      </c>
      <c r="F87" s="53" t="s">
        <v>532</v>
      </c>
      <c r="G87" s="53" t="s">
        <v>533</v>
      </c>
      <c r="H87" s="53" t="s">
        <v>339</v>
      </c>
    </row>
    <row r="88" spans="1:8" s="56" customFormat="1" x14ac:dyDescent="0.25">
      <c r="A88" s="55" t="s">
        <v>334</v>
      </c>
      <c r="B88" s="56" t="s">
        <v>534</v>
      </c>
      <c r="C88" s="56" t="s">
        <v>517</v>
      </c>
      <c r="D88" s="56" t="s">
        <v>334</v>
      </c>
      <c r="E88" s="59" t="s">
        <v>354</v>
      </c>
      <c r="F88" s="56" t="s">
        <v>535</v>
      </c>
      <c r="G88" s="56" t="s">
        <v>213</v>
      </c>
      <c r="H88" s="56" t="s">
        <v>339</v>
      </c>
    </row>
    <row r="89" spans="1:8" s="56" customFormat="1" x14ac:dyDescent="0.25">
      <c r="A89" s="55" t="s">
        <v>334</v>
      </c>
      <c r="B89" s="56" t="s">
        <v>536</v>
      </c>
      <c r="C89" s="56" t="s">
        <v>517</v>
      </c>
      <c r="D89" s="56" t="s">
        <v>334</v>
      </c>
      <c r="E89" s="59" t="s">
        <v>354</v>
      </c>
      <c r="F89" s="56" t="s">
        <v>537</v>
      </c>
      <c r="G89" s="56" t="s">
        <v>213</v>
      </c>
      <c r="H89" s="56" t="s">
        <v>339</v>
      </c>
    </row>
    <row r="90" spans="1:8" s="53" customFormat="1" x14ac:dyDescent="0.25">
      <c r="A90" s="18" t="s">
        <v>334</v>
      </c>
      <c r="B90" s="53" t="s">
        <v>538</v>
      </c>
      <c r="C90" s="53" t="s">
        <v>517</v>
      </c>
      <c r="D90" s="53" t="s">
        <v>539</v>
      </c>
      <c r="E90" s="92">
        <f>37871/5280</f>
        <v>7.1725378787878791</v>
      </c>
      <c r="F90" s="53" t="s">
        <v>154</v>
      </c>
      <c r="G90" s="53" t="s">
        <v>540</v>
      </c>
      <c r="H90" s="53" t="s">
        <v>339</v>
      </c>
    </row>
    <row r="91" spans="1:8" s="53" customFormat="1" x14ac:dyDescent="0.25">
      <c r="A91" s="18" t="s">
        <v>334</v>
      </c>
      <c r="B91" s="53" t="s">
        <v>541</v>
      </c>
      <c r="C91" s="53" t="s">
        <v>517</v>
      </c>
      <c r="D91" s="53" t="s">
        <v>334</v>
      </c>
      <c r="E91" s="19">
        <v>0.66</v>
      </c>
      <c r="F91" s="53" t="s">
        <v>9</v>
      </c>
      <c r="H91" s="53" t="s">
        <v>339</v>
      </c>
    </row>
    <row r="92" spans="1:8" s="53" customFormat="1" x14ac:dyDescent="0.25">
      <c r="A92" s="18" t="s">
        <v>334</v>
      </c>
      <c r="B92" s="53" t="s">
        <v>542</v>
      </c>
      <c r="C92" s="53" t="s">
        <v>517</v>
      </c>
      <c r="D92" s="53" t="s">
        <v>543</v>
      </c>
      <c r="E92" s="19">
        <v>0.41</v>
      </c>
      <c r="F92" s="53" t="s">
        <v>154</v>
      </c>
      <c r="G92" s="53" t="s">
        <v>544</v>
      </c>
      <c r="H92" s="53" t="s">
        <v>339</v>
      </c>
    </row>
    <row r="93" spans="1:8" s="53" customFormat="1" x14ac:dyDescent="0.25">
      <c r="A93" s="18" t="s">
        <v>334</v>
      </c>
      <c r="B93" s="53" t="s">
        <v>545</v>
      </c>
      <c r="C93" s="53" t="s">
        <v>517</v>
      </c>
      <c r="D93" s="53" t="s">
        <v>543</v>
      </c>
      <c r="E93" s="19">
        <v>0.26</v>
      </c>
      <c r="F93" s="53" t="s">
        <v>154</v>
      </c>
      <c r="H93" s="53" t="s">
        <v>339</v>
      </c>
    </row>
    <row r="94" spans="1:8" s="25" customFormat="1" x14ac:dyDescent="0.25">
      <c r="A94" s="18" t="s">
        <v>334</v>
      </c>
      <c r="B94" s="53" t="s">
        <v>546</v>
      </c>
      <c r="C94" s="53" t="s">
        <v>517</v>
      </c>
      <c r="D94" s="53" t="s">
        <v>543</v>
      </c>
      <c r="E94" s="19">
        <v>0.18</v>
      </c>
      <c r="F94" s="53" t="s">
        <v>154</v>
      </c>
      <c r="G94" s="53" t="s">
        <v>547</v>
      </c>
      <c r="H94" s="53" t="s">
        <v>339</v>
      </c>
    </row>
    <row r="95" spans="1:8" s="53" customFormat="1" x14ac:dyDescent="0.25">
      <c r="A95" s="18" t="s">
        <v>334</v>
      </c>
      <c r="B95" s="53" t="s">
        <v>548</v>
      </c>
      <c r="C95" s="53" t="s">
        <v>517</v>
      </c>
      <c r="D95" s="53" t="s">
        <v>543</v>
      </c>
      <c r="E95" s="19">
        <v>0.17</v>
      </c>
      <c r="F95" s="53" t="s">
        <v>154</v>
      </c>
      <c r="G95" s="53" t="s">
        <v>549</v>
      </c>
      <c r="H95" s="53" t="s">
        <v>339</v>
      </c>
    </row>
    <row r="96" spans="1:8" s="56" customFormat="1" x14ac:dyDescent="0.25">
      <c r="A96" s="55" t="s">
        <v>334</v>
      </c>
      <c r="B96" s="56" t="s">
        <v>550</v>
      </c>
      <c r="C96" s="56" t="s">
        <v>517</v>
      </c>
      <c r="D96" s="56" t="s">
        <v>334</v>
      </c>
      <c r="E96" s="59" t="s">
        <v>354</v>
      </c>
      <c r="F96" s="56" t="s">
        <v>560</v>
      </c>
      <c r="G96" s="56" t="s">
        <v>551</v>
      </c>
      <c r="H96" s="56" t="s">
        <v>339</v>
      </c>
    </row>
    <row r="97" spans="1:8" s="25" customFormat="1" x14ac:dyDescent="0.25">
      <c r="A97" s="18" t="s">
        <v>334</v>
      </c>
      <c r="B97" s="32" t="s">
        <v>552</v>
      </c>
      <c r="C97" s="53" t="s">
        <v>517</v>
      </c>
      <c r="D97" s="53" t="s">
        <v>334</v>
      </c>
      <c r="E97" s="19">
        <v>0.64</v>
      </c>
      <c r="F97" s="53" t="s">
        <v>553</v>
      </c>
      <c r="H97" s="53" t="s">
        <v>339</v>
      </c>
    </row>
    <row r="98" spans="1:8" s="53" customFormat="1" x14ac:dyDescent="0.25">
      <c r="A98" s="18" t="s">
        <v>334</v>
      </c>
      <c r="B98" s="32" t="s">
        <v>554</v>
      </c>
      <c r="C98" s="53" t="s">
        <v>517</v>
      </c>
      <c r="D98" s="53" t="s">
        <v>555</v>
      </c>
      <c r="E98" s="31">
        <f>2746/5280</f>
        <v>0.52007575757575752</v>
      </c>
      <c r="F98" s="53" t="s">
        <v>13</v>
      </c>
      <c r="H98" s="53" t="s">
        <v>339</v>
      </c>
    </row>
    <row r="99" spans="1:8" s="53" customFormat="1" x14ac:dyDescent="0.25">
      <c r="A99" s="18" t="s">
        <v>334</v>
      </c>
      <c r="B99" s="32" t="s">
        <v>556</v>
      </c>
      <c r="C99" s="53" t="s">
        <v>517</v>
      </c>
      <c r="D99" s="53" t="s">
        <v>557</v>
      </c>
      <c r="E99" s="19">
        <v>0.34</v>
      </c>
      <c r="F99" s="53" t="s">
        <v>154</v>
      </c>
      <c r="G99" s="53" t="s">
        <v>558</v>
      </c>
      <c r="H99" s="53" t="s">
        <v>339</v>
      </c>
    </row>
    <row r="100" spans="1:8" s="56" customFormat="1" x14ac:dyDescent="0.25">
      <c r="A100" s="55" t="s">
        <v>334</v>
      </c>
      <c r="B100" s="55" t="s">
        <v>559</v>
      </c>
      <c r="C100" s="56" t="s">
        <v>517</v>
      </c>
      <c r="D100" s="56" t="s">
        <v>334</v>
      </c>
      <c r="E100" s="59" t="s">
        <v>354</v>
      </c>
      <c r="F100" s="56" t="s">
        <v>560</v>
      </c>
      <c r="G100" s="56" t="s">
        <v>561</v>
      </c>
      <c r="H100" s="56" t="s">
        <v>339</v>
      </c>
    </row>
    <row r="101" spans="1:8" s="56" customFormat="1" x14ac:dyDescent="0.25">
      <c r="A101" s="55" t="s">
        <v>334</v>
      </c>
      <c r="B101" s="55" t="s">
        <v>562</v>
      </c>
      <c r="C101" s="56" t="s">
        <v>517</v>
      </c>
      <c r="D101" s="56" t="s">
        <v>334</v>
      </c>
      <c r="E101" s="59" t="s">
        <v>354</v>
      </c>
      <c r="F101" s="56" t="s">
        <v>563</v>
      </c>
      <c r="G101" s="56" t="s">
        <v>564</v>
      </c>
      <c r="H101" s="56" t="s">
        <v>339</v>
      </c>
    </row>
    <row r="102" spans="1:8" s="53" customFormat="1" x14ac:dyDescent="0.25">
      <c r="A102" s="18" t="s">
        <v>334</v>
      </c>
      <c r="B102" s="32" t="s">
        <v>565</v>
      </c>
      <c r="C102" s="53" t="s">
        <v>517</v>
      </c>
      <c r="D102" s="53" t="s">
        <v>557</v>
      </c>
      <c r="E102" s="31">
        <f>310/5280</f>
        <v>5.8712121212121215E-2</v>
      </c>
      <c r="F102" s="53" t="s">
        <v>566</v>
      </c>
      <c r="G102" s="53" t="s">
        <v>567</v>
      </c>
      <c r="H102" s="53" t="s">
        <v>339</v>
      </c>
    </row>
    <row r="103" spans="1:8" s="56" customFormat="1" x14ac:dyDescent="0.25">
      <c r="A103" s="55" t="s">
        <v>334</v>
      </c>
      <c r="B103" s="55" t="s">
        <v>568</v>
      </c>
      <c r="C103" s="56" t="s">
        <v>517</v>
      </c>
      <c r="D103" s="56" t="s">
        <v>334</v>
      </c>
      <c r="E103" s="59" t="s">
        <v>354</v>
      </c>
      <c r="F103" s="56" t="s">
        <v>569</v>
      </c>
      <c r="G103" s="56" t="s">
        <v>213</v>
      </c>
      <c r="H103" s="56" t="s">
        <v>339</v>
      </c>
    </row>
    <row r="104" spans="1:8" s="56" customFormat="1" x14ac:dyDescent="0.25">
      <c r="A104" s="55" t="s">
        <v>334</v>
      </c>
      <c r="B104" s="55" t="s">
        <v>570</v>
      </c>
      <c r="C104" s="56" t="s">
        <v>517</v>
      </c>
      <c r="D104" s="56" t="s">
        <v>334</v>
      </c>
      <c r="E104" s="59" t="s">
        <v>354</v>
      </c>
      <c r="F104" s="56" t="s">
        <v>385</v>
      </c>
      <c r="G104" s="56" t="s">
        <v>213</v>
      </c>
      <c r="H104" s="56" t="s">
        <v>339</v>
      </c>
    </row>
    <row r="105" spans="1:8" s="56" customFormat="1" x14ac:dyDescent="0.25">
      <c r="A105" s="55" t="s">
        <v>334</v>
      </c>
      <c r="B105" s="55" t="s">
        <v>571</v>
      </c>
      <c r="C105" s="56" t="s">
        <v>517</v>
      </c>
      <c r="D105" s="56" t="s">
        <v>334</v>
      </c>
      <c r="E105" s="59" t="s">
        <v>354</v>
      </c>
      <c r="F105" s="56" t="s">
        <v>480</v>
      </c>
      <c r="G105" s="56" t="s">
        <v>572</v>
      </c>
      <c r="H105" s="56" t="s">
        <v>339</v>
      </c>
    </row>
    <row r="106" spans="1:8" s="54" customFormat="1" x14ac:dyDescent="0.25">
      <c r="A106" s="32" t="s">
        <v>334</v>
      </c>
      <c r="B106" s="32" t="s">
        <v>2106</v>
      </c>
      <c r="C106" s="54" t="s">
        <v>517</v>
      </c>
      <c r="D106" s="54" t="s">
        <v>557</v>
      </c>
      <c r="E106" s="60">
        <f>193/5280</f>
        <v>3.6553030303030302E-2</v>
      </c>
      <c r="F106" s="54" t="s">
        <v>232</v>
      </c>
      <c r="G106" s="54" t="s">
        <v>2107</v>
      </c>
      <c r="H106" s="54" t="s">
        <v>339</v>
      </c>
    </row>
    <row r="107" spans="1:8" s="56" customFormat="1" x14ac:dyDescent="0.25">
      <c r="A107" s="55" t="s">
        <v>334</v>
      </c>
      <c r="B107" s="55" t="s">
        <v>573</v>
      </c>
      <c r="C107" s="56" t="s">
        <v>517</v>
      </c>
      <c r="D107" s="56" t="s">
        <v>334</v>
      </c>
      <c r="E107" s="59" t="s">
        <v>354</v>
      </c>
      <c r="F107" s="56" t="s">
        <v>574</v>
      </c>
      <c r="G107" s="56" t="s">
        <v>213</v>
      </c>
      <c r="H107" s="56" t="s">
        <v>339</v>
      </c>
    </row>
    <row r="108" spans="1:8" s="53" customFormat="1" x14ac:dyDescent="0.25">
      <c r="A108" s="18" t="s">
        <v>334</v>
      </c>
      <c r="B108" s="32" t="s">
        <v>575</v>
      </c>
      <c r="C108" s="54" t="s">
        <v>517</v>
      </c>
      <c r="D108" s="54" t="s">
        <v>334</v>
      </c>
      <c r="E108" s="31">
        <v>0.22</v>
      </c>
      <c r="F108" s="54" t="s">
        <v>232</v>
      </c>
      <c r="G108" s="54" t="s">
        <v>576</v>
      </c>
      <c r="H108" s="53" t="s">
        <v>339</v>
      </c>
    </row>
    <row r="109" spans="1:8" s="53" customFormat="1" x14ac:dyDescent="0.25">
      <c r="A109" s="18" t="s">
        <v>334</v>
      </c>
      <c r="B109" s="32" t="s">
        <v>577</v>
      </c>
      <c r="C109" s="54" t="s">
        <v>517</v>
      </c>
      <c r="D109" s="54" t="s">
        <v>334</v>
      </c>
      <c r="E109" s="19">
        <v>0.12</v>
      </c>
      <c r="F109" s="54" t="s">
        <v>232</v>
      </c>
      <c r="G109" s="54"/>
      <c r="H109" s="53" t="s">
        <v>339</v>
      </c>
    </row>
    <row r="110" spans="1:8" s="56" customFormat="1" x14ac:dyDescent="0.25">
      <c r="A110" s="55" t="s">
        <v>334</v>
      </c>
      <c r="B110" s="55" t="s">
        <v>578</v>
      </c>
      <c r="C110" s="56" t="s">
        <v>517</v>
      </c>
      <c r="D110" s="56" t="s">
        <v>334</v>
      </c>
      <c r="E110" s="59" t="s">
        <v>354</v>
      </c>
      <c r="F110" s="56" t="s">
        <v>579</v>
      </c>
      <c r="H110" s="56" t="s">
        <v>339</v>
      </c>
    </row>
    <row r="111" spans="1:8" s="54" customFormat="1" x14ac:dyDescent="0.25">
      <c r="A111" s="32" t="s">
        <v>334</v>
      </c>
      <c r="B111" s="32" t="s">
        <v>2108</v>
      </c>
      <c r="C111" s="54" t="s">
        <v>517</v>
      </c>
      <c r="D111" s="54" t="s">
        <v>557</v>
      </c>
      <c r="E111" s="60">
        <f>397/5280</f>
        <v>7.5189393939393945E-2</v>
      </c>
      <c r="F111" s="54" t="s">
        <v>232</v>
      </c>
      <c r="G111" s="54" t="s">
        <v>1143</v>
      </c>
      <c r="H111" s="54" t="s">
        <v>339</v>
      </c>
    </row>
    <row r="112" spans="1:8" s="53" customFormat="1" x14ac:dyDescent="0.25">
      <c r="A112" s="18" t="s">
        <v>334</v>
      </c>
      <c r="B112" s="32" t="s">
        <v>580</v>
      </c>
      <c r="C112" s="53" t="s">
        <v>517</v>
      </c>
      <c r="D112" s="53" t="s">
        <v>337</v>
      </c>
      <c r="E112" s="19">
        <v>0.69</v>
      </c>
      <c r="F112" s="54" t="s">
        <v>28</v>
      </c>
      <c r="G112" s="54" t="s">
        <v>581</v>
      </c>
      <c r="H112" s="53" t="s">
        <v>339</v>
      </c>
    </row>
    <row r="113" spans="1:8" s="56" customFormat="1" x14ac:dyDescent="0.25">
      <c r="A113" s="55" t="s">
        <v>334</v>
      </c>
      <c r="B113" s="55" t="s">
        <v>582</v>
      </c>
      <c r="C113" s="56" t="s">
        <v>517</v>
      </c>
      <c r="D113" s="56" t="s">
        <v>334</v>
      </c>
      <c r="E113" s="59" t="s">
        <v>354</v>
      </c>
      <c r="F113" s="56" t="s">
        <v>560</v>
      </c>
      <c r="G113" s="56" t="s">
        <v>583</v>
      </c>
      <c r="H113" s="56" t="s">
        <v>339</v>
      </c>
    </row>
    <row r="114" spans="1:8" s="53" customFormat="1" x14ac:dyDescent="0.25">
      <c r="A114" s="18" t="s">
        <v>334</v>
      </c>
      <c r="B114" s="32" t="s">
        <v>584</v>
      </c>
      <c r="C114" s="54" t="s">
        <v>517</v>
      </c>
      <c r="D114" s="54" t="s">
        <v>334</v>
      </c>
      <c r="E114" s="31">
        <f>857/5280</f>
        <v>0.16231060606060607</v>
      </c>
      <c r="F114" s="54" t="s">
        <v>232</v>
      </c>
      <c r="G114" s="54" t="s">
        <v>585</v>
      </c>
      <c r="H114" s="53" t="s">
        <v>339</v>
      </c>
    </row>
    <row r="115" spans="1:8" s="53" customFormat="1" x14ac:dyDescent="0.25">
      <c r="A115" s="18" t="s">
        <v>334</v>
      </c>
      <c r="B115" s="32" t="s">
        <v>586</v>
      </c>
      <c r="C115" s="53" t="s">
        <v>517</v>
      </c>
      <c r="D115" s="54" t="s">
        <v>587</v>
      </c>
      <c r="E115" s="71">
        <f>495/5280</f>
        <v>9.375E-2</v>
      </c>
      <c r="F115" s="54" t="s">
        <v>154</v>
      </c>
      <c r="G115" s="54" t="s">
        <v>588</v>
      </c>
      <c r="H115" s="53" t="s">
        <v>339</v>
      </c>
    </row>
    <row r="116" spans="1:8" s="53" customFormat="1" x14ac:dyDescent="0.25">
      <c r="A116" s="18" t="s">
        <v>334</v>
      </c>
      <c r="B116" s="32" t="s">
        <v>589</v>
      </c>
      <c r="C116" s="53" t="s">
        <v>517</v>
      </c>
      <c r="D116" s="54" t="s">
        <v>590</v>
      </c>
      <c r="E116" s="71">
        <f>938/5280</f>
        <v>0.17765151515151514</v>
      </c>
      <c r="F116" s="54" t="s">
        <v>154</v>
      </c>
      <c r="G116" s="54" t="s">
        <v>591</v>
      </c>
      <c r="H116" s="53" t="s">
        <v>339</v>
      </c>
    </row>
    <row r="117" spans="1:8" s="25" customFormat="1" x14ac:dyDescent="0.25">
      <c r="A117" s="18" t="s">
        <v>334</v>
      </c>
      <c r="B117" s="32" t="s">
        <v>592</v>
      </c>
      <c r="C117" s="53" t="s">
        <v>517</v>
      </c>
      <c r="D117" s="54" t="s">
        <v>590</v>
      </c>
      <c r="E117" s="22">
        <v>0.17</v>
      </c>
      <c r="F117" s="54" t="s">
        <v>154</v>
      </c>
      <c r="H117" s="53" t="s">
        <v>339</v>
      </c>
    </row>
    <row r="118" spans="1:8" s="53" customFormat="1" x14ac:dyDescent="0.25">
      <c r="A118" s="18" t="s">
        <v>334</v>
      </c>
      <c r="B118" s="32" t="s">
        <v>593</v>
      </c>
      <c r="C118" s="53" t="s">
        <v>517</v>
      </c>
      <c r="D118" s="54" t="s">
        <v>590</v>
      </c>
      <c r="E118" s="22">
        <v>0.54</v>
      </c>
      <c r="F118" s="54" t="s">
        <v>154</v>
      </c>
      <c r="G118" s="54" t="s">
        <v>594</v>
      </c>
      <c r="H118" s="53" t="s">
        <v>339</v>
      </c>
    </row>
    <row r="119" spans="1:8" s="56" customFormat="1" x14ac:dyDescent="0.25">
      <c r="A119" s="55" t="s">
        <v>334</v>
      </c>
      <c r="B119" s="55" t="s">
        <v>595</v>
      </c>
      <c r="C119" s="56" t="s">
        <v>517</v>
      </c>
      <c r="D119" s="56" t="s">
        <v>334</v>
      </c>
      <c r="E119" s="59" t="s">
        <v>354</v>
      </c>
      <c r="F119" s="56" t="s">
        <v>596</v>
      </c>
      <c r="G119" s="56" t="s">
        <v>213</v>
      </c>
      <c r="H119" s="56" t="s">
        <v>339</v>
      </c>
    </row>
    <row r="120" spans="1:8" s="56" customFormat="1" x14ac:dyDescent="0.25">
      <c r="A120" s="55" t="s">
        <v>334</v>
      </c>
      <c r="B120" s="55" t="s">
        <v>597</v>
      </c>
      <c r="C120" s="56" t="s">
        <v>517</v>
      </c>
      <c r="D120" s="56" t="s">
        <v>334</v>
      </c>
      <c r="E120" s="59" t="s">
        <v>354</v>
      </c>
      <c r="F120" s="56" t="s">
        <v>598</v>
      </c>
      <c r="G120" s="56" t="s">
        <v>599</v>
      </c>
      <c r="H120" s="56" t="s">
        <v>339</v>
      </c>
    </row>
    <row r="121" spans="1:8" s="53" customFormat="1" x14ac:dyDescent="0.25">
      <c r="A121" s="18" t="s">
        <v>334</v>
      </c>
      <c r="B121" s="30" t="s">
        <v>600</v>
      </c>
      <c r="C121" s="53" t="s">
        <v>517</v>
      </c>
      <c r="D121" s="54" t="s">
        <v>601</v>
      </c>
      <c r="E121" s="36">
        <v>0.14000000000000001</v>
      </c>
      <c r="F121" s="54" t="s">
        <v>154</v>
      </c>
      <c r="G121" s="54" t="s">
        <v>602</v>
      </c>
      <c r="H121" s="53" t="s">
        <v>339</v>
      </c>
    </row>
    <row r="122" spans="1:8" s="53" customFormat="1" x14ac:dyDescent="0.25">
      <c r="A122" s="18" t="s">
        <v>334</v>
      </c>
      <c r="B122" s="32" t="s">
        <v>603</v>
      </c>
      <c r="C122" s="53" t="s">
        <v>517</v>
      </c>
      <c r="D122" s="54" t="s">
        <v>604</v>
      </c>
      <c r="E122" s="31">
        <f>(2483+857+1441+296+1547)/5280</f>
        <v>1.2545454545454546</v>
      </c>
      <c r="F122" s="54" t="s">
        <v>13</v>
      </c>
      <c r="G122" s="54" t="s">
        <v>2113</v>
      </c>
      <c r="H122" s="53" t="s">
        <v>2112</v>
      </c>
    </row>
    <row r="123" spans="1:8" s="53" customFormat="1" x14ac:dyDescent="0.25">
      <c r="A123" s="18" t="s">
        <v>334</v>
      </c>
      <c r="B123" s="32" t="s">
        <v>2114</v>
      </c>
      <c r="C123" s="53" t="s">
        <v>517</v>
      </c>
      <c r="D123" s="54" t="s">
        <v>2115</v>
      </c>
      <c r="E123" s="31">
        <f>637/5280</f>
        <v>0.1206439393939394</v>
      </c>
      <c r="F123" s="54" t="s">
        <v>13</v>
      </c>
      <c r="G123" s="54" t="s">
        <v>2116</v>
      </c>
      <c r="H123" s="54" t="s">
        <v>2112</v>
      </c>
    </row>
    <row r="124" spans="1:8" s="53" customFormat="1" x14ac:dyDescent="0.25">
      <c r="A124" s="18" t="s">
        <v>334</v>
      </c>
      <c r="B124" s="32" t="s">
        <v>2117</v>
      </c>
      <c r="C124" s="53" t="s">
        <v>517</v>
      </c>
      <c r="D124" s="54" t="s">
        <v>2115</v>
      </c>
      <c r="E124" s="31">
        <f>492/5280</f>
        <v>9.3181818181818185E-2</v>
      </c>
      <c r="F124" s="54" t="s">
        <v>13</v>
      </c>
      <c r="G124" s="54"/>
      <c r="H124" s="54" t="s">
        <v>2112</v>
      </c>
    </row>
    <row r="125" spans="1:8" s="53" customFormat="1" x14ac:dyDescent="0.25">
      <c r="A125" s="18" t="s">
        <v>334</v>
      </c>
      <c r="B125" s="32" t="s">
        <v>2118</v>
      </c>
      <c r="C125" s="53" t="s">
        <v>517</v>
      </c>
      <c r="D125" s="54" t="s">
        <v>605</v>
      </c>
      <c r="E125" s="60">
        <f>1473/5280</f>
        <v>0.27897727272727274</v>
      </c>
      <c r="F125" s="54" t="s">
        <v>2119</v>
      </c>
      <c r="H125" s="53" t="s">
        <v>2112</v>
      </c>
    </row>
    <row r="126" spans="1:8" s="53" customFormat="1" x14ac:dyDescent="0.25">
      <c r="A126" s="18" t="s">
        <v>334</v>
      </c>
      <c r="B126" s="32" t="s">
        <v>606</v>
      </c>
      <c r="C126" s="53" t="s">
        <v>517</v>
      </c>
      <c r="D126" s="54" t="s">
        <v>607</v>
      </c>
      <c r="E126" s="60">
        <f>1273/5280</f>
        <v>0.24109848484848484</v>
      </c>
      <c r="F126" s="54" t="s">
        <v>2109</v>
      </c>
      <c r="G126" s="54" t="s">
        <v>608</v>
      </c>
      <c r="H126" s="53" t="s">
        <v>339</v>
      </c>
    </row>
    <row r="127" spans="1:8" s="53" customFormat="1" x14ac:dyDescent="0.25">
      <c r="A127" s="18" t="s">
        <v>334</v>
      </c>
      <c r="B127" s="32" t="s">
        <v>609</v>
      </c>
      <c r="C127" s="53" t="s">
        <v>517</v>
      </c>
      <c r="D127" s="54" t="s">
        <v>607</v>
      </c>
      <c r="E127" s="60">
        <f>1141/5280</f>
        <v>0.21609848484848485</v>
      </c>
      <c r="F127" s="54" t="s">
        <v>154</v>
      </c>
      <c r="G127" s="54" t="s">
        <v>610</v>
      </c>
      <c r="H127" s="53" t="s">
        <v>339</v>
      </c>
    </row>
    <row r="128" spans="1:8" s="56" customFormat="1" x14ac:dyDescent="0.25">
      <c r="A128" s="55" t="s">
        <v>334</v>
      </c>
      <c r="B128" s="55" t="s">
        <v>611</v>
      </c>
      <c r="C128" s="56" t="s">
        <v>517</v>
      </c>
      <c r="D128" s="56" t="s">
        <v>334</v>
      </c>
      <c r="E128" s="59" t="s">
        <v>354</v>
      </c>
      <c r="F128" s="56" t="s">
        <v>569</v>
      </c>
      <c r="G128" s="56" t="s">
        <v>612</v>
      </c>
      <c r="H128" s="56" t="s">
        <v>339</v>
      </c>
    </row>
    <row r="129" spans="1:8" s="53" customFormat="1" x14ac:dyDescent="0.25">
      <c r="A129" s="18" t="s">
        <v>334</v>
      </c>
      <c r="B129" s="53" t="s">
        <v>613</v>
      </c>
      <c r="C129" s="53" t="s">
        <v>517</v>
      </c>
      <c r="D129" s="54" t="s">
        <v>6</v>
      </c>
      <c r="E129" s="71">
        <f>(5534+974+3693+450+7866+1936+3385+699+24192+1547+1982+34976+148074+45250+16404+10148)/5280</f>
        <v>58.164772727272727</v>
      </c>
      <c r="F129" s="54" t="s">
        <v>43</v>
      </c>
      <c r="G129" s="54" t="s">
        <v>614</v>
      </c>
      <c r="H129" s="53" t="s">
        <v>339</v>
      </c>
    </row>
    <row r="130" spans="1:8" s="53" customFormat="1" x14ac:dyDescent="0.25">
      <c r="A130" s="18" t="s">
        <v>334</v>
      </c>
      <c r="B130" s="32" t="s">
        <v>615</v>
      </c>
      <c r="C130" s="53" t="s">
        <v>517</v>
      </c>
      <c r="D130" s="54" t="s">
        <v>616</v>
      </c>
      <c r="E130" s="19">
        <v>0.13</v>
      </c>
      <c r="F130" s="53" t="s">
        <v>154</v>
      </c>
      <c r="G130" s="54" t="s">
        <v>617</v>
      </c>
      <c r="H130" s="53" t="s">
        <v>339</v>
      </c>
    </row>
    <row r="131" spans="1:8" s="56" customFormat="1" x14ac:dyDescent="0.25">
      <c r="A131" s="55" t="s">
        <v>334</v>
      </c>
      <c r="B131" s="55" t="s">
        <v>618</v>
      </c>
      <c r="C131" s="56" t="s">
        <v>517</v>
      </c>
      <c r="D131" s="56" t="s">
        <v>334</v>
      </c>
      <c r="E131" s="59" t="s">
        <v>354</v>
      </c>
      <c r="F131" s="56" t="s">
        <v>619</v>
      </c>
      <c r="G131" s="56" t="s">
        <v>620</v>
      </c>
      <c r="H131" s="56" t="s">
        <v>339</v>
      </c>
    </row>
    <row r="132" spans="1:8" s="56" customFormat="1" x14ac:dyDescent="0.25">
      <c r="A132" s="55" t="s">
        <v>334</v>
      </c>
      <c r="B132" s="55" t="s">
        <v>621</v>
      </c>
      <c r="C132" s="56" t="s">
        <v>517</v>
      </c>
      <c r="D132" s="56" t="s">
        <v>334</v>
      </c>
      <c r="E132" s="59" t="s">
        <v>354</v>
      </c>
      <c r="F132" s="56" t="s">
        <v>622</v>
      </c>
      <c r="G132" s="56" t="s">
        <v>623</v>
      </c>
      <c r="H132" s="56" t="s">
        <v>339</v>
      </c>
    </row>
    <row r="133" spans="1:8" s="56" customFormat="1" x14ac:dyDescent="0.25">
      <c r="A133" s="55" t="s">
        <v>334</v>
      </c>
      <c r="B133" s="55" t="s">
        <v>624</v>
      </c>
      <c r="C133" s="56" t="s">
        <v>517</v>
      </c>
      <c r="D133" s="56" t="s">
        <v>334</v>
      </c>
      <c r="E133" s="59" t="s">
        <v>354</v>
      </c>
      <c r="F133" s="56" t="s">
        <v>2110</v>
      </c>
      <c r="G133" s="56" t="s">
        <v>625</v>
      </c>
      <c r="H133" s="56" t="s">
        <v>339</v>
      </c>
    </row>
    <row r="134" spans="1:8" s="56" customFormat="1" x14ac:dyDescent="0.25">
      <c r="A134" s="55" t="s">
        <v>334</v>
      </c>
      <c r="B134" s="55" t="s">
        <v>626</v>
      </c>
      <c r="C134" s="56" t="s">
        <v>517</v>
      </c>
      <c r="D134" s="56" t="s">
        <v>627</v>
      </c>
      <c r="E134" s="59" t="s">
        <v>354</v>
      </c>
      <c r="F134" s="56" t="s">
        <v>628</v>
      </c>
      <c r="G134" s="56" t="s">
        <v>629</v>
      </c>
      <c r="H134" s="56" t="s">
        <v>339</v>
      </c>
    </row>
    <row r="135" spans="1:8" s="56" customFormat="1" x14ac:dyDescent="0.25">
      <c r="A135" s="55" t="s">
        <v>334</v>
      </c>
      <c r="B135" s="55" t="s">
        <v>630</v>
      </c>
      <c r="C135" s="56" t="s">
        <v>517</v>
      </c>
      <c r="D135" s="56" t="s">
        <v>627</v>
      </c>
      <c r="E135" s="59" t="s">
        <v>354</v>
      </c>
      <c r="F135" s="56" t="s">
        <v>361</v>
      </c>
      <c r="G135" s="56" t="s">
        <v>631</v>
      </c>
      <c r="H135" s="56" t="s">
        <v>339</v>
      </c>
    </row>
    <row r="136" spans="1:8" s="56" customFormat="1" x14ac:dyDescent="0.25">
      <c r="A136" s="55" t="s">
        <v>334</v>
      </c>
      <c r="B136" s="55" t="s">
        <v>632</v>
      </c>
      <c r="C136" s="56" t="s">
        <v>517</v>
      </c>
      <c r="D136" s="56" t="s">
        <v>627</v>
      </c>
      <c r="E136" s="59" t="s">
        <v>354</v>
      </c>
      <c r="F136" s="56" t="s">
        <v>633</v>
      </c>
      <c r="G136" s="56" t="s">
        <v>634</v>
      </c>
      <c r="H136" s="56" t="s">
        <v>339</v>
      </c>
    </row>
    <row r="137" spans="1:8" s="56" customFormat="1" x14ac:dyDescent="0.25">
      <c r="A137" s="55" t="s">
        <v>334</v>
      </c>
      <c r="B137" s="55" t="s">
        <v>635</v>
      </c>
      <c r="C137" s="56" t="s">
        <v>517</v>
      </c>
      <c r="D137" s="56" t="s">
        <v>627</v>
      </c>
      <c r="E137" s="59" t="s">
        <v>354</v>
      </c>
      <c r="F137" s="56" t="s">
        <v>633</v>
      </c>
      <c r="G137" s="56" t="s">
        <v>636</v>
      </c>
      <c r="H137" s="56" t="s">
        <v>339</v>
      </c>
    </row>
    <row r="138" spans="1:8" s="56" customFormat="1" x14ac:dyDescent="0.25">
      <c r="A138" s="55" t="s">
        <v>334</v>
      </c>
      <c r="B138" s="55" t="s">
        <v>637</v>
      </c>
      <c r="C138" s="56" t="s">
        <v>517</v>
      </c>
      <c r="D138" s="56" t="s">
        <v>627</v>
      </c>
      <c r="E138" s="59" t="s">
        <v>354</v>
      </c>
      <c r="F138" s="56" t="s">
        <v>385</v>
      </c>
      <c r="G138" s="56" t="s">
        <v>638</v>
      </c>
      <c r="H138" s="56" t="s">
        <v>339</v>
      </c>
    </row>
    <row r="139" spans="1:8" s="56" customFormat="1" x14ac:dyDescent="0.25">
      <c r="A139" s="55" t="s">
        <v>334</v>
      </c>
      <c r="B139" s="55" t="s">
        <v>639</v>
      </c>
      <c r="C139" s="56" t="s">
        <v>517</v>
      </c>
      <c r="D139" s="56" t="s">
        <v>627</v>
      </c>
      <c r="E139" s="59" t="s">
        <v>354</v>
      </c>
      <c r="F139" s="56" t="s">
        <v>448</v>
      </c>
      <c r="G139" s="56" t="s">
        <v>640</v>
      </c>
      <c r="H139" s="56" t="s">
        <v>339</v>
      </c>
    </row>
    <row r="140" spans="1:8" s="54" customFormat="1" x14ac:dyDescent="0.25">
      <c r="A140" s="32" t="s">
        <v>334</v>
      </c>
      <c r="B140" s="32" t="s">
        <v>2355</v>
      </c>
      <c r="C140" s="54" t="s">
        <v>517</v>
      </c>
      <c r="D140" s="54" t="s">
        <v>644</v>
      </c>
      <c r="E140" s="60">
        <f>(15905+883+1002+311+489)/5280</f>
        <v>3.5208333333333335</v>
      </c>
      <c r="F140" s="54" t="s">
        <v>154</v>
      </c>
      <c r="G140" s="54" t="s">
        <v>2353</v>
      </c>
      <c r="H140" s="54" t="s">
        <v>2354</v>
      </c>
    </row>
    <row r="141" spans="1:8" s="53" customFormat="1" x14ac:dyDescent="0.25">
      <c r="A141" s="18" t="s">
        <v>334</v>
      </c>
      <c r="B141" s="53" t="s">
        <v>641</v>
      </c>
      <c r="C141" s="53" t="s">
        <v>517</v>
      </c>
      <c r="D141" s="54" t="s">
        <v>5</v>
      </c>
      <c r="E141" s="31">
        <f>(1405+53376+2156+1647)/5280</f>
        <v>11.095454545454546</v>
      </c>
      <c r="F141" s="54" t="s">
        <v>8</v>
      </c>
      <c r="G141" s="54" t="s">
        <v>642</v>
      </c>
      <c r="H141" s="53" t="s">
        <v>2065</v>
      </c>
    </row>
    <row r="142" spans="1:8" s="54" customFormat="1" x14ac:dyDescent="0.25">
      <c r="A142" s="32" t="s">
        <v>334</v>
      </c>
      <c r="B142" s="32" t="s">
        <v>2120</v>
      </c>
      <c r="C142" s="54" t="s">
        <v>517</v>
      </c>
      <c r="D142" s="54" t="s">
        <v>2121</v>
      </c>
      <c r="E142" s="60">
        <f>509/5280</f>
        <v>9.6401515151515155E-2</v>
      </c>
      <c r="F142" s="54" t="s">
        <v>871</v>
      </c>
      <c r="G142" s="54" t="s">
        <v>2122</v>
      </c>
      <c r="H142" s="54" t="s">
        <v>2112</v>
      </c>
    </row>
    <row r="143" spans="1:8" s="54" customFormat="1" x14ac:dyDescent="0.25">
      <c r="A143" s="32" t="s">
        <v>334</v>
      </c>
      <c r="B143" s="32" t="s">
        <v>2123</v>
      </c>
      <c r="C143" s="54" t="s">
        <v>517</v>
      </c>
      <c r="D143" s="54" t="s">
        <v>644</v>
      </c>
      <c r="E143" s="60">
        <f>1211/5280</f>
        <v>0.22935606060606062</v>
      </c>
      <c r="F143" s="54" t="s">
        <v>871</v>
      </c>
      <c r="G143" s="54" t="s">
        <v>2122</v>
      </c>
      <c r="H143" s="54" t="s">
        <v>2112</v>
      </c>
    </row>
    <row r="144" spans="1:8" s="53" customFormat="1" x14ac:dyDescent="0.25">
      <c r="A144" s="18" t="s">
        <v>334</v>
      </c>
      <c r="B144" s="32" t="s">
        <v>643</v>
      </c>
      <c r="C144" s="53" t="s">
        <v>517</v>
      </c>
      <c r="D144" s="54" t="s">
        <v>644</v>
      </c>
      <c r="E144" s="19">
        <v>1.17</v>
      </c>
      <c r="F144" s="54" t="s">
        <v>154</v>
      </c>
      <c r="G144" s="54" t="s">
        <v>645</v>
      </c>
      <c r="H144" s="53" t="s">
        <v>339</v>
      </c>
    </row>
    <row r="145" spans="1:8" s="53" customFormat="1" x14ac:dyDescent="0.25">
      <c r="A145" s="18" t="s">
        <v>334</v>
      </c>
      <c r="B145" s="32" t="s">
        <v>646</v>
      </c>
      <c r="C145" s="53" t="s">
        <v>517</v>
      </c>
      <c r="D145" s="54" t="s">
        <v>644</v>
      </c>
      <c r="E145" s="31">
        <f>1449/5280</f>
        <v>0.27443181818181817</v>
      </c>
      <c r="F145" s="54" t="s">
        <v>154</v>
      </c>
      <c r="G145" s="54" t="s">
        <v>1714</v>
      </c>
      <c r="H145" s="53" t="s">
        <v>339</v>
      </c>
    </row>
    <row r="146" spans="1:8" s="53" customFormat="1" x14ac:dyDescent="0.25">
      <c r="A146" s="18" t="s">
        <v>334</v>
      </c>
      <c r="B146" s="32" t="s">
        <v>2124</v>
      </c>
      <c r="C146" s="53" t="s">
        <v>517</v>
      </c>
      <c r="D146" s="54" t="s">
        <v>644</v>
      </c>
      <c r="E146" s="31">
        <f>2612/5280</f>
        <v>0.49469696969696969</v>
      </c>
      <c r="F146" s="54" t="s">
        <v>232</v>
      </c>
      <c r="G146" s="53" t="s">
        <v>647</v>
      </c>
      <c r="H146" s="53" t="s">
        <v>339</v>
      </c>
    </row>
    <row r="147" spans="1:8" s="53" customFormat="1" x14ac:dyDescent="0.25">
      <c r="A147" s="18" t="s">
        <v>334</v>
      </c>
      <c r="B147" s="32" t="s">
        <v>648</v>
      </c>
      <c r="C147" s="53" t="s">
        <v>517</v>
      </c>
      <c r="D147" s="54" t="s">
        <v>644</v>
      </c>
      <c r="E147" s="31">
        <f>250/5280</f>
        <v>4.7348484848484848E-2</v>
      </c>
      <c r="F147" s="53" t="s">
        <v>232</v>
      </c>
      <c r="G147" s="53" t="s">
        <v>649</v>
      </c>
      <c r="H147" s="53" t="s">
        <v>339</v>
      </c>
    </row>
    <row r="148" spans="1:8" s="56" customFormat="1" x14ac:dyDescent="0.25">
      <c r="A148" s="55" t="s">
        <v>334</v>
      </c>
      <c r="B148" s="55" t="s">
        <v>650</v>
      </c>
      <c r="C148" s="56" t="s">
        <v>517</v>
      </c>
      <c r="D148" s="56" t="s">
        <v>334</v>
      </c>
      <c r="E148" s="59" t="s">
        <v>354</v>
      </c>
      <c r="F148" s="56" t="s">
        <v>651</v>
      </c>
      <c r="G148" s="56" t="s">
        <v>652</v>
      </c>
      <c r="H148" s="56" t="s">
        <v>339</v>
      </c>
    </row>
    <row r="149" spans="1:8" s="54" customFormat="1" x14ac:dyDescent="0.25">
      <c r="A149" s="32" t="s">
        <v>334</v>
      </c>
      <c r="B149" s="32" t="s">
        <v>653</v>
      </c>
      <c r="C149" s="54" t="s">
        <v>517</v>
      </c>
      <c r="D149" s="54" t="s">
        <v>2121</v>
      </c>
      <c r="E149" s="60">
        <f>479/5280</f>
        <v>9.0719696969696964E-2</v>
      </c>
      <c r="F149" s="54" t="s">
        <v>13</v>
      </c>
      <c r="G149" s="54" t="s">
        <v>2125</v>
      </c>
      <c r="H149" s="54" t="s">
        <v>2112</v>
      </c>
    </row>
    <row r="150" spans="1:8" s="54" customFormat="1" x14ac:dyDescent="0.25">
      <c r="A150" s="32" t="s">
        <v>334</v>
      </c>
      <c r="B150" s="30" t="s">
        <v>653</v>
      </c>
      <c r="C150" s="54" t="s">
        <v>517</v>
      </c>
      <c r="D150" s="54" t="s">
        <v>654</v>
      </c>
      <c r="E150" s="60">
        <f>2652/5280</f>
        <v>0.50227272727272732</v>
      </c>
      <c r="F150" s="54" t="s">
        <v>154</v>
      </c>
      <c r="G150" s="54" t="s">
        <v>655</v>
      </c>
      <c r="H150" s="53" t="s">
        <v>2126</v>
      </c>
    </row>
    <row r="151" spans="1:8" s="53" customFormat="1" x14ac:dyDescent="0.25">
      <c r="A151" s="18" t="s">
        <v>334</v>
      </c>
      <c r="B151" s="32" t="s">
        <v>656</v>
      </c>
      <c r="C151" s="53" t="s">
        <v>517</v>
      </c>
      <c r="D151" s="54" t="s">
        <v>654</v>
      </c>
      <c r="E151" s="31">
        <f>1372/5280</f>
        <v>0.25984848484848483</v>
      </c>
      <c r="F151" s="54" t="s">
        <v>232</v>
      </c>
      <c r="G151" s="54" t="s">
        <v>657</v>
      </c>
      <c r="H151" s="53" t="s">
        <v>2112</v>
      </c>
    </row>
    <row r="152" spans="1:8" s="56" customFormat="1" x14ac:dyDescent="0.25">
      <c r="A152" s="55" t="s">
        <v>334</v>
      </c>
      <c r="B152" s="55" t="s">
        <v>658</v>
      </c>
      <c r="C152" s="56" t="s">
        <v>517</v>
      </c>
      <c r="D152" s="56" t="s">
        <v>654</v>
      </c>
      <c r="E152" s="59" t="s">
        <v>354</v>
      </c>
      <c r="F152" s="56" t="s">
        <v>659</v>
      </c>
      <c r="G152" s="56" t="s">
        <v>660</v>
      </c>
      <c r="H152" s="56" t="s">
        <v>339</v>
      </c>
    </row>
    <row r="153" spans="1:8" s="53" customFormat="1" x14ac:dyDescent="0.25">
      <c r="A153" s="18" t="s">
        <v>334</v>
      </c>
      <c r="B153" s="30" t="s">
        <v>661</v>
      </c>
      <c r="C153" s="53" t="s">
        <v>517</v>
      </c>
      <c r="D153" s="53" t="s">
        <v>654</v>
      </c>
      <c r="E153" s="31">
        <f>856/5280</f>
        <v>0.16212121212121211</v>
      </c>
      <c r="F153" s="54" t="s">
        <v>232</v>
      </c>
      <c r="G153" s="54" t="s">
        <v>662</v>
      </c>
      <c r="H153" s="53" t="s">
        <v>339</v>
      </c>
    </row>
    <row r="154" spans="1:8" s="53" customFormat="1" x14ac:dyDescent="0.25">
      <c r="A154" s="18" t="s">
        <v>334</v>
      </c>
      <c r="B154" s="53" t="s">
        <v>663</v>
      </c>
      <c r="C154" s="53" t="s">
        <v>517</v>
      </c>
      <c r="D154" s="53" t="s">
        <v>654</v>
      </c>
      <c r="E154" s="31">
        <f>491/5280</f>
        <v>9.2992424242424238E-2</v>
      </c>
      <c r="F154" s="54" t="s">
        <v>232</v>
      </c>
      <c r="G154" s="54" t="s">
        <v>664</v>
      </c>
      <c r="H154" s="53" t="s">
        <v>339</v>
      </c>
    </row>
    <row r="155" spans="1:8" s="56" customFormat="1" x14ac:dyDescent="0.25">
      <c r="A155" s="55" t="s">
        <v>334</v>
      </c>
      <c r="B155" s="56" t="s">
        <v>665</v>
      </c>
      <c r="C155" s="56" t="s">
        <v>517</v>
      </c>
      <c r="D155" s="56" t="s">
        <v>334</v>
      </c>
      <c r="E155" s="59" t="s">
        <v>354</v>
      </c>
      <c r="F155" s="56" t="s">
        <v>666</v>
      </c>
      <c r="G155" s="56" t="s">
        <v>667</v>
      </c>
      <c r="H155" s="56" t="s">
        <v>339</v>
      </c>
    </row>
    <row r="156" spans="1:8" s="53" customFormat="1" x14ac:dyDescent="0.25">
      <c r="A156" s="18" t="s">
        <v>334</v>
      </c>
      <c r="B156" s="53" t="s">
        <v>668</v>
      </c>
      <c r="C156" s="53" t="s">
        <v>517</v>
      </c>
      <c r="D156" s="53" t="s">
        <v>543</v>
      </c>
      <c r="E156" s="31">
        <v>0.1</v>
      </c>
      <c r="F156" s="54" t="s">
        <v>232</v>
      </c>
      <c r="G156" s="54" t="s">
        <v>669</v>
      </c>
      <c r="H156" s="53" t="s">
        <v>339</v>
      </c>
    </row>
    <row r="157" spans="1:8" s="53" customFormat="1" x14ac:dyDescent="0.25">
      <c r="A157" s="18" t="s">
        <v>334</v>
      </c>
      <c r="B157" s="53" t="s">
        <v>2127</v>
      </c>
      <c r="C157" s="53" t="s">
        <v>517</v>
      </c>
      <c r="D157" s="53" t="s">
        <v>543</v>
      </c>
      <c r="E157" s="31">
        <f>433/5280</f>
        <v>8.2007575757575751E-2</v>
      </c>
      <c r="F157" s="54" t="s">
        <v>232</v>
      </c>
      <c r="G157" s="54" t="s">
        <v>2128</v>
      </c>
      <c r="H157" s="54" t="s">
        <v>2112</v>
      </c>
    </row>
    <row r="158" spans="1:8" s="53" customFormat="1" x14ac:dyDescent="0.25">
      <c r="A158" s="18" t="s">
        <v>334</v>
      </c>
      <c r="B158" s="53" t="s">
        <v>2129</v>
      </c>
      <c r="C158" s="53" t="s">
        <v>517</v>
      </c>
      <c r="D158" s="53" t="s">
        <v>543</v>
      </c>
      <c r="E158" s="31">
        <f>327/5280</f>
        <v>6.1931818181818185E-2</v>
      </c>
      <c r="F158" s="54" t="s">
        <v>232</v>
      </c>
      <c r="G158" s="54" t="s">
        <v>2130</v>
      </c>
      <c r="H158" s="54" t="s">
        <v>2112</v>
      </c>
    </row>
    <row r="159" spans="1:8" s="56" customFormat="1" x14ac:dyDescent="0.25">
      <c r="A159" s="55" t="s">
        <v>334</v>
      </c>
      <c r="B159" s="56" t="s">
        <v>670</v>
      </c>
      <c r="C159" s="56" t="s">
        <v>517</v>
      </c>
      <c r="D159" s="56" t="s">
        <v>543</v>
      </c>
      <c r="E159" s="59" t="s">
        <v>354</v>
      </c>
      <c r="F159" s="56" t="s">
        <v>385</v>
      </c>
      <c r="G159" s="56" t="s">
        <v>671</v>
      </c>
      <c r="H159" s="56" t="s">
        <v>339</v>
      </c>
    </row>
    <row r="160" spans="1:8" s="54" customFormat="1" x14ac:dyDescent="0.25">
      <c r="A160" s="32" t="s">
        <v>334</v>
      </c>
      <c r="B160" s="54" t="s">
        <v>2131</v>
      </c>
      <c r="C160" s="54" t="s">
        <v>517</v>
      </c>
      <c r="D160" s="54" t="s">
        <v>543</v>
      </c>
      <c r="E160" s="60">
        <f>660/5280</f>
        <v>0.125</v>
      </c>
      <c r="F160" s="54" t="s">
        <v>154</v>
      </c>
      <c r="G160" s="54" t="s">
        <v>2132</v>
      </c>
      <c r="H160" s="54" t="s">
        <v>2112</v>
      </c>
    </row>
    <row r="161" spans="1:8" s="53" customFormat="1" x14ac:dyDescent="0.25">
      <c r="A161" s="18" t="s">
        <v>334</v>
      </c>
      <c r="B161" s="30" t="s">
        <v>672</v>
      </c>
      <c r="C161" s="53" t="s">
        <v>517</v>
      </c>
      <c r="D161" s="53" t="s">
        <v>543</v>
      </c>
      <c r="E161" s="31">
        <f>6311/5280</f>
        <v>1.1952651515151516</v>
      </c>
      <c r="F161" s="54" t="s">
        <v>154</v>
      </c>
      <c r="G161" s="54" t="s">
        <v>2133</v>
      </c>
      <c r="H161" s="53" t="s">
        <v>339</v>
      </c>
    </row>
    <row r="162" spans="1:8" s="53" customFormat="1" x14ac:dyDescent="0.25">
      <c r="A162" s="18" t="s">
        <v>334</v>
      </c>
      <c r="B162" s="53" t="s">
        <v>673</v>
      </c>
      <c r="C162" s="53" t="s">
        <v>517</v>
      </c>
      <c r="D162" s="53" t="s">
        <v>674</v>
      </c>
      <c r="E162" s="31">
        <f>772/5280</f>
        <v>0.14621212121212121</v>
      </c>
      <c r="F162" s="54" t="s">
        <v>154</v>
      </c>
      <c r="G162" s="54" t="s">
        <v>675</v>
      </c>
      <c r="H162" s="53" t="s">
        <v>339</v>
      </c>
    </row>
    <row r="163" spans="1:8" s="53" customFormat="1" x14ac:dyDescent="0.25">
      <c r="A163" s="18" t="s">
        <v>334</v>
      </c>
      <c r="B163" s="53" t="s">
        <v>2134</v>
      </c>
      <c r="C163" s="53" t="s">
        <v>517</v>
      </c>
      <c r="D163" s="53" t="s">
        <v>674</v>
      </c>
      <c r="E163" s="31">
        <f>259/5280</f>
        <v>4.90530303030303E-2</v>
      </c>
      <c r="F163" s="54" t="s">
        <v>232</v>
      </c>
      <c r="G163" s="54" t="s">
        <v>153</v>
      </c>
      <c r="H163" s="54" t="s">
        <v>2112</v>
      </c>
    </row>
    <row r="164" spans="1:8" s="53" customFormat="1" x14ac:dyDescent="0.25">
      <c r="A164" s="18" t="s">
        <v>334</v>
      </c>
      <c r="B164" s="30" t="s">
        <v>2135</v>
      </c>
      <c r="C164" s="53" t="s">
        <v>517</v>
      </c>
      <c r="D164" s="53" t="s">
        <v>674</v>
      </c>
      <c r="E164" s="31">
        <f>528/5280</f>
        <v>0.1</v>
      </c>
      <c r="F164" s="54" t="s">
        <v>154</v>
      </c>
      <c r="G164" s="54" t="s">
        <v>676</v>
      </c>
      <c r="H164" s="53" t="s">
        <v>339</v>
      </c>
    </row>
    <row r="165" spans="1:8" s="53" customFormat="1" x14ac:dyDescent="0.25">
      <c r="A165" s="18" t="s">
        <v>334</v>
      </c>
      <c r="B165" s="30" t="s">
        <v>2136</v>
      </c>
      <c r="C165" s="53" t="s">
        <v>517</v>
      </c>
      <c r="D165" s="53" t="s">
        <v>674</v>
      </c>
      <c r="E165" s="31">
        <f>275/5280</f>
        <v>5.2083333333333336E-2</v>
      </c>
      <c r="F165" s="54" t="s">
        <v>232</v>
      </c>
      <c r="G165" s="54" t="s">
        <v>2137</v>
      </c>
      <c r="H165" s="54" t="s">
        <v>2112</v>
      </c>
    </row>
    <row r="166" spans="1:8" s="53" customFormat="1" x14ac:dyDescent="0.25">
      <c r="A166" s="18" t="s">
        <v>334</v>
      </c>
      <c r="B166" s="30" t="s">
        <v>2138</v>
      </c>
      <c r="C166" s="53" t="s">
        <v>517</v>
      </c>
      <c r="D166" s="53" t="s">
        <v>674</v>
      </c>
      <c r="E166" s="31">
        <f>209/5280</f>
        <v>3.9583333333333331E-2</v>
      </c>
      <c r="F166" s="54" t="s">
        <v>232</v>
      </c>
      <c r="G166" s="54" t="s">
        <v>2137</v>
      </c>
      <c r="H166" s="54" t="s">
        <v>2112</v>
      </c>
    </row>
    <row r="167" spans="1:8" s="53" customFormat="1" x14ac:dyDescent="0.25">
      <c r="A167" s="18" t="s">
        <v>334</v>
      </c>
      <c r="B167" s="30" t="s">
        <v>2139</v>
      </c>
      <c r="C167" s="53" t="s">
        <v>517</v>
      </c>
      <c r="D167" s="53" t="s">
        <v>674</v>
      </c>
      <c r="E167" s="31">
        <f>2302/5280</f>
        <v>0.43598484848484848</v>
      </c>
      <c r="F167" s="54" t="s">
        <v>154</v>
      </c>
      <c r="G167" s="54" t="s">
        <v>2140</v>
      </c>
      <c r="H167" s="53" t="s">
        <v>339</v>
      </c>
    </row>
    <row r="168" spans="1:8" s="56" customFormat="1" x14ac:dyDescent="0.25">
      <c r="A168" s="55" t="s">
        <v>334</v>
      </c>
      <c r="B168" s="67" t="s">
        <v>677</v>
      </c>
      <c r="C168" s="56" t="s">
        <v>517</v>
      </c>
      <c r="D168" s="56" t="s">
        <v>334</v>
      </c>
      <c r="E168" s="59" t="s">
        <v>354</v>
      </c>
      <c r="F168" s="56" t="s">
        <v>678</v>
      </c>
      <c r="G168" s="56" t="s">
        <v>679</v>
      </c>
      <c r="H168" s="56" t="s">
        <v>339</v>
      </c>
    </row>
    <row r="169" spans="1:8" s="53" customFormat="1" x14ac:dyDescent="0.25">
      <c r="A169" s="18" t="s">
        <v>334</v>
      </c>
      <c r="B169" s="30" t="s">
        <v>680</v>
      </c>
      <c r="C169" s="54" t="s">
        <v>517</v>
      </c>
      <c r="D169" s="54" t="s">
        <v>681</v>
      </c>
      <c r="E169" s="60">
        <f>8179/5280</f>
        <v>1.5490530303030303</v>
      </c>
      <c r="F169" s="54" t="s">
        <v>208</v>
      </c>
      <c r="G169" s="54" t="s">
        <v>2141</v>
      </c>
      <c r="H169" s="53" t="s">
        <v>2112</v>
      </c>
    </row>
    <row r="170" spans="1:8" s="53" customFormat="1" x14ac:dyDescent="0.25">
      <c r="A170" s="18" t="s">
        <v>334</v>
      </c>
      <c r="B170" s="30" t="s">
        <v>2142</v>
      </c>
      <c r="C170" s="54" t="s">
        <v>517</v>
      </c>
      <c r="D170" s="54" t="s">
        <v>681</v>
      </c>
      <c r="E170" s="60">
        <f>700/5280</f>
        <v>0.13257575757575757</v>
      </c>
      <c r="F170" s="54" t="s">
        <v>208</v>
      </c>
      <c r="G170" s="54" t="s">
        <v>2143</v>
      </c>
      <c r="H170" s="54" t="s">
        <v>2112</v>
      </c>
    </row>
    <row r="171" spans="1:8" s="53" customFormat="1" x14ac:dyDescent="0.25">
      <c r="A171" s="18" t="s">
        <v>334</v>
      </c>
      <c r="B171" s="30" t="s">
        <v>2144</v>
      </c>
      <c r="C171" s="53" t="s">
        <v>517</v>
      </c>
      <c r="D171" s="53" t="s">
        <v>539</v>
      </c>
      <c r="E171" s="31">
        <f>2652/5280</f>
        <v>0.50227272727272732</v>
      </c>
      <c r="F171" s="54" t="s">
        <v>154</v>
      </c>
      <c r="G171" s="54" t="s">
        <v>682</v>
      </c>
      <c r="H171" s="53" t="s">
        <v>2112</v>
      </c>
    </row>
    <row r="172" spans="1:8" s="53" customFormat="1" x14ac:dyDescent="0.25">
      <c r="A172" s="18" t="s">
        <v>334</v>
      </c>
      <c r="B172" s="30" t="s">
        <v>683</v>
      </c>
      <c r="C172" s="53" t="s">
        <v>517</v>
      </c>
      <c r="D172" s="53" t="s">
        <v>539</v>
      </c>
      <c r="E172" s="31">
        <f>1934/5280</f>
        <v>0.36628787878787877</v>
      </c>
      <c r="F172" s="54" t="s">
        <v>154</v>
      </c>
      <c r="G172" s="54" t="s">
        <v>684</v>
      </c>
      <c r="H172" s="53" t="s">
        <v>2112</v>
      </c>
    </row>
    <row r="173" spans="1:8" s="53" customFormat="1" x14ac:dyDescent="0.25">
      <c r="A173" s="18" t="s">
        <v>334</v>
      </c>
      <c r="B173" s="30" t="s">
        <v>685</v>
      </c>
      <c r="C173" s="53" t="s">
        <v>517</v>
      </c>
      <c r="D173" s="53" t="s">
        <v>539</v>
      </c>
      <c r="E173" s="31">
        <f>679/5280</f>
        <v>0.12859848484848485</v>
      </c>
      <c r="F173" s="54" t="s">
        <v>154</v>
      </c>
      <c r="G173" s="54" t="s">
        <v>2145</v>
      </c>
      <c r="H173" s="53" t="s">
        <v>2112</v>
      </c>
    </row>
    <row r="174" spans="1:8" s="56" customFormat="1" x14ac:dyDescent="0.25">
      <c r="A174" s="55" t="s">
        <v>334</v>
      </c>
      <c r="B174" s="67" t="s">
        <v>686</v>
      </c>
      <c r="C174" s="56" t="s">
        <v>517</v>
      </c>
      <c r="D174" s="56" t="s">
        <v>334</v>
      </c>
      <c r="E174" s="59" t="s">
        <v>354</v>
      </c>
      <c r="F174" s="56" t="s">
        <v>687</v>
      </c>
      <c r="G174" s="56" t="s">
        <v>688</v>
      </c>
      <c r="H174" s="56" t="s">
        <v>339</v>
      </c>
    </row>
    <row r="175" spans="1:8" s="53" customFormat="1" x14ac:dyDescent="0.25">
      <c r="A175" s="18" t="s">
        <v>334</v>
      </c>
      <c r="B175" s="30" t="s">
        <v>689</v>
      </c>
      <c r="C175" s="53" t="s">
        <v>517</v>
      </c>
      <c r="D175" s="53" t="s">
        <v>539</v>
      </c>
      <c r="E175" s="31">
        <f>637/5280</f>
        <v>0.1206439393939394</v>
      </c>
      <c r="F175" s="54" t="s">
        <v>232</v>
      </c>
      <c r="G175" s="54" t="s">
        <v>690</v>
      </c>
      <c r="H175" s="53" t="s">
        <v>339</v>
      </c>
    </row>
    <row r="176" spans="1:8" s="56" customFormat="1" x14ac:dyDescent="0.25">
      <c r="A176" s="55" t="s">
        <v>334</v>
      </c>
      <c r="B176" s="67" t="s">
        <v>691</v>
      </c>
      <c r="C176" s="56" t="s">
        <v>517</v>
      </c>
      <c r="D176" s="56" t="s">
        <v>334</v>
      </c>
      <c r="E176" s="59" t="s">
        <v>354</v>
      </c>
      <c r="F176" s="56" t="s">
        <v>619</v>
      </c>
      <c r="G176" s="56" t="s">
        <v>692</v>
      </c>
      <c r="H176" s="56" t="s">
        <v>339</v>
      </c>
    </row>
    <row r="177" spans="1:8" s="53" customFormat="1" x14ac:dyDescent="0.25">
      <c r="A177" s="18" t="s">
        <v>334</v>
      </c>
      <c r="B177" s="30" t="s">
        <v>693</v>
      </c>
      <c r="C177" s="53" t="s">
        <v>517</v>
      </c>
      <c r="D177" s="53" t="s">
        <v>539</v>
      </c>
      <c r="E177" s="31">
        <f>1232/5280</f>
        <v>0.23333333333333334</v>
      </c>
      <c r="F177" s="54" t="s">
        <v>232</v>
      </c>
      <c r="G177" s="54" t="s">
        <v>690</v>
      </c>
      <c r="H177" s="53" t="s">
        <v>339</v>
      </c>
    </row>
    <row r="178" spans="1:8" s="56" customFormat="1" x14ac:dyDescent="0.25">
      <c r="A178" s="55" t="s">
        <v>334</v>
      </c>
      <c r="B178" s="67" t="s">
        <v>694</v>
      </c>
      <c r="C178" s="56" t="s">
        <v>517</v>
      </c>
      <c r="D178" s="56" t="s">
        <v>334</v>
      </c>
      <c r="E178" s="59" t="s">
        <v>354</v>
      </c>
      <c r="F178" s="56" t="s">
        <v>695</v>
      </c>
      <c r="G178" s="56" t="s">
        <v>692</v>
      </c>
      <c r="H178" s="56" t="s">
        <v>339</v>
      </c>
    </row>
    <row r="179" spans="1:8" s="53" customFormat="1" x14ac:dyDescent="0.25">
      <c r="A179" s="18" t="s">
        <v>334</v>
      </c>
      <c r="B179" s="30" t="s">
        <v>696</v>
      </c>
      <c r="C179" s="53" t="s">
        <v>517</v>
      </c>
      <c r="D179" s="53" t="s">
        <v>539</v>
      </c>
      <c r="E179" s="22">
        <v>0.46</v>
      </c>
      <c r="F179" s="54" t="s">
        <v>232</v>
      </c>
      <c r="G179" s="54" t="s">
        <v>697</v>
      </c>
      <c r="H179" s="53" t="s">
        <v>339</v>
      </c>
    </row>
    <row r="180" spans="1:8" s="53" customFormat="1" x14ac:dyDescent="0.25">
      <c r="A180" s="18" t="s">
        <v>334</v>
      </c>
      <c r="B180" s="30" t="s">
        <v>698</v>
      </c>
      <c r="C180" s="53" t="s">
        <v>517</v>
      </c>
      <c r="D180" s="53" t="s">
        <v>699</v>
      </c>
      <c r="E180" s="19">
        <v>1.36</v>
      </c>
      <c r="F180" s="54" t="s">
        <v>13</v>
      </c>
      <c r="G180" s="54" t="s">
        <v>700</v>
      </c>
      <c r="H180" s="53" t="s">
        <v>339</v>
      </c>
    </row>
    <row r="181" spans="1:8" s="53" customFormat="1" x14ac:dyDescent="0.25">
      <c r="A181" s="18" t="s">
        <v>334</v>
      </c>
      <c r="B181" s="30" t="s">
        <v>701</v>
      </c>
      <c r="C181" s="53" t="s">
        <v>517</v>
      </c>
      <c r="D181" s="53" t="s">
        <v>604</v>
      </c>
      <c r="E181" s="19">
        <v>0.48</v>
      </c>
      <c r="F181" s="54" t="s">
        <v>13</v>
      </c>
      <c r="G181" s="53" t="s">
        <v>702</v>
      </c>
      <c r="H181" s="53" t="s">
        <v>339</v>
      </c>
    </row>
    <row r="182" spans="1:8" s="53" customFormat="1" x14ac:dyDescent="0.25">
      <c r="A182" s="18" t="s">
        <v>334</v>
      </c>
      <c r="B182" s="30" t="s">
        <v>2147</v>
      </c>
      <c r="C182" s="53" t="s">
        <v>517</v>
      </c>
      <c r="D182" s="53" t="s">
        <v>539</v>
      </c>
      <c r="E182" s="31">
        <f>236/5280</f>
        <v>4.46969696969697E-2</v>
      </c>
      <c r="F182" s="54" t="s">
        <v>232</v>
      </c>
      <c r="G182" s="53" t="s">
        <v>2146</v>
      </c>
      <c r="H182" s="53" t="s">
        <v>2112</v>
      </c>
    </row>
    <row r="183" spans="1:8" s="53" customFormat="1" x14ac:dyDescent="0.25">
      <c r="A183" s="18" t="s">
        <v>334</v>
      </c>
      <c r="B183" s="30" t="s">
        <v>2148</v>
      </c>
      <c r="C183" s="53" t="s">
        <v>517</v>
      </c>
      <c r="D183" s="53" t="s">
        <v>2149</v>
      </c>
      <c r="E183" s="31">
        <f>605/5280</f>
        <v>0.11458333333333333</v>
      </c>
      <c r="F183" s="54" t="s">
        <v>905</v>
      </c>
      <c r="G183" s="54" t="s">
        <v>2150</v>
      </c>
      <c r="H183" s="53" t="s">
        <v>2112</v>
      </c>
    </row>
    <row r="184" spans="1:8" s="53" customFormat="1" x14ac:dyDescent="0.25">
      <c r="A184" s="18" t="s">
        <v>334</v>
      </c>
      <c r="B184" s="30" t="s">
        <v>2153</v>
      </c>
      <c r="C184" s="53" t="s">
        <v>517</v>
      </c>
      <c r="D184" s="53" t="s">
        <v>604</v>
      </c>
      <c r="E184" s="31">
        <f>2604/5280</f>
        <v>0.49318181818181817</v>
      </c>
      <c r="F184" s="4" t="s">
        <v>13</v>
      </c>
      <c r="G184" s="54" t="s">
        <v>2151</v>
      </c>
      <c r="H184" s="53" t="s">
        <v>2112</v>
      </c>
    </row>
    <row r="185" spans="1:8" s="53" customFormat="1" x14ac:dyDescent="0.25">
      <c r="A185" s="18" t="s">
        <v>334</v>
      </c>
      <c r="B185" s="30" t="s">
        <v>2153</v>
      </c>
      <c r="C185" s="53" t="s">
        <v>517</v>
      </c>
      <c r="D185" s="53" t="s">
        <v>2155</v>
      </c>
      <c r="E185" s="31">
        <f>1767/5280</f>
        <v>0.33465909090909091</v>
      </c>
      <c r="F185" s="4" t="s">
        <v>532</v>
      </c>
      <c r="G185" s="54" t="s">
        <v>1714</v>
      </c>
      <c r="H185" s="54" t="s">
        <v>2112</v>
      </c>
    </row>
    <row r="186" spans="1:8" s="53" customFormat="1" x14ac:dyDescent="0.25">
      <c r="A186" s="18" t="s">
        <v>334</v>
      </c>
      <c r="B186" s="30" t="s">
        <v>2154</v>
      </c>
      <c r="C186" s="53" t="s">
        <v>517</v>
      </c>
      <c r="D186" s="53" t="s">
        <v>605</v>
      </c>
      <c r="E186" s="31">
        <f>441/5280</f>
        <v>8.3522727272727276E-2</v>
      </c>
      <c r="F186" s="54" t="s">
        <v>1872</v>
      </c>
      <c r="G186" s="54" t="s">
        <v>2152</v>
      </c>
      <c r="H186" s="53" t="s">
        <v>2112</v>
      </c>
    </row>
    <row r="187" spans="1:8" s="56" customFormat="1" x14ac:dyDescent="0.25">
      <c r="A187" s="55" t="s">
        <v>334</v>
      </c>
      <c r="B187" s="67" t="s">
        <v>2153</v>
      </c>
      <c r="C187" s="56" t="s">
        <v>517</v>
      </c>
      <c r="D187" s="56" t="s">
        <v>703</v>
      </c>
      <c r="E187" s="57" t="s">
        <v>354</v>
      </c>
      <c r="F187" s="56" t="s">
        <v>2157</v>
      </c>
      <c r="G187" s="56" t="s">
        <v>2156</v>
      </c>
      <c r="H187" s="56" t="s">
        <v>339</v>
      </c>
    </row>
    <row r="188" spans="1:8" s="56" customFormat="1" x14ac:dyDescent="0.25">
      <c r="A188" s="55" t="s">
        <v>334</v>
      </c>
      <c r="B188" s="67" t="s">
        <v>704</v>
      </c>
      <c r="C188" s="56" t="s">
        <v>517</v>
      </c>
      <c r="D188" s="56" t="s">
        <v>334</v>
      </c>
      <c r="E188" s="59" t="s">
        <v>354</v>
      </c>
      <c r="F188" s="56" t="s">
        <v>705</v>
      </c>
      <c r="G188" s="56" t="s">
        <v>706</v>
      </c>
      <c r="H188" s="56" t="s">
        <v>339</v>
      </c>
    </row>
    <row r="189" spans="1:8" s="56" customFormat="1" x14ac:dyDescent="0.25">
      <c r="A189" s="55" t="s">
        <v>334</v>
      </c>
      <c r="B189" s="67" t="s">
        <v>707</v>
      </c>
      <c r="C189" s="56" t="s">
        <v>517</v>
      </c>
      <c r="D189" s="56" t="s">
        <v>334</v>
      </c>
      <c r="E189" s="59" t="s">
        <v>354</v>
      </c>
      <c r="F189" s="56" t="s">
        <v>708</v>
      </c>
      <c r="G189" s="56" t="s">
        <v>709</v>
      </c>
      <c r="H189" s="56" t="s">
        <v>339</v>
      </c>
    </row>
    <row r="190" spans="1:8" s="53" customFormat="1" x14ac:dyDescent="0.25">
      <c r="A190" s="18" t="s">
        <v>334</v>
      </c>
      <c r="B190" s="30" t="s">
        <v>710</v>
      </c>
      <c r="C190" s="53" t="s">
        <v>517</v>
      </c>
      <c r="D190" s="53" t="s">
        <v>337</v>
      </c>
      <c r="E190" s="31">
        <f>(1650+6207)/5280</f>
        <v>1.4880681818181818</v>
      </c>
      <c r="F190" s="54" t="s">
        <v>711</v>
      </c>
      <c r="G190" s="54" t="s">
        <v>2159</v>
      </c>
      <c r="H190" s="53" t="s">
        <v>339</v>
      </c>
    </row>
    <row r="191" spans="1:8" s="53" customFormat="1" x14ac:dyDescent="0.25">
      <c r="A191" s="18" t="s">
        <v>334</v>
      </c>
      <c r="B191" s="30" t="s">
        <v>2158</v>
      </c>
      <c r="C191" s="53" t="s">
        <v>517</v>
      </c>
      <c r="D191" s="53" t="s">
        <v>703</v>
      </c>
      <c r="E191" s="31">
        <f>1329/5280</f>
        <v>0.25170454545454546</v>
      </c>
      <c r="F191" s="54" t="s">
        <v>154</v>
      </c>
      <c r="G191" s="54" t="s">
        <v>2160</v>
      </c>
      <c r="H191" s="53" t="s">
        <v>339</v>
      </c>
    </row>
    <row r="192" spans="1:8" s="53" customFormat="1" x14ac:dyDescent="0.25">
      <c r="A192" s="18" t="s">
        <v>334</v>
      </c>
      <c r="B192" s="30" t="s">
        <v>712</v>
      </c>
      <c r="C192" s="53" t="s">
        <v>517</v>
      </c>
      <c r="D192" s="53" t="s">
        <v>337</v>
      </c>
      <c r="E192" s="31">
        <f>6009/5280</f>
        <v>1.1380681818181819</v>
      </c>
      <c r="F192" s="54" t="s">
        <v>274</v>
      </c>
      <c r="G192" s="54" t="s">
        <v>2161</v>
      </c>
      <c r="H192" s="53" t="s">
        <v>339</v>
      </c>
    </row>
    <row r="193" spans="1:8" s="53" customFormat="1" x14ac:dyDescent="0.25">
      <c r="A193" s="18" t="s">
        <v>334</v>
      </c>
      <c r="B193" s="30" t="s">
        <v>2163</v>
      </c>
      <c r="C193" s="53" t="s">
        <v>517</v>
      </c>
      <c r="D193" s="53" t="s">
        <v>714</v>
      </c>
      <c r="E193" s="31">
        <f>536/5280</f>
        <v>0.10151515151515152</v>
      </c>
      <c r="F193" s="54" t="s">
        <v>208</v>
      </c>
      <c r="G193" s="54" t="s">
        <v>2162</v>
      </c>
      <c r="H193" s="53" t="s">
        <v>2112</v>
      </c>
    </row>
    <row r="194" spans="1:8" s="53" customFormat="1" x14ac:dyDescent="0.25">
      <c r="A194" s="18" t="s">
        <v>334</v>
      </c>
      <c r="B194" s="30" t="s">
        <v>713</v>
      </c>
      <c r="C194" s="53" t="s">
        <v>517</v>
      </c>
      <c r="D194" s="53" t="s">
        <v>714</v>
      </c>
      <c r="E194" s="31">
        <f>(618+975)/5280</f>
        <v>0.30170454545454545</v>
      </c>
      <c r="F194" s="54" t="s">
        <v>232</v>
      </c>
      <c r="G194" s="54" t="s">
        <v>715</v>
      </c>
      <c r="H194" s="53" t="s">
        <v>339</v>
      </c>
    </row>
    <row r="195" spans="1:8" s="53" customFormat="1" x14ac:dyDescent="0.25">
      <c r="A195" s="18" t="s">
        <v>334</v>
      </c>
      <c r="B195" s="30" t="s">
        <v>2164</v>
      </c>
      <c r="C195" s="53" t="s">
        <v>517</v>
      </c>
      <c r="D195" s="53" t="s">
        <v>714</v>
      </c>
      <c r="E195" s="31">
        <f>572/5280</f>
        <v>0.10833333333333334</v>
      </c>
      <c r="F195" s="54" t="s">
        <v>208</v>
      </c>
      <c r="G195" s="54"/>
      <c r="H195" s="54" t="s">
        <v>2112</v>
      </c>
    </row>
    <row r="196" spans="1:8" s="53" customFormat="1" x14ac:dyDescent="0.25">
      <c r="A196" s="18" t="s">
        <v>334</v>
      </c>
      <c r="B196" s="30" t="s">
        <v>716</v>
      </c>
      <c r="C196" s="53" t="s">
        <v>517</v>
      </c>
      <c r="D196" s="53" t="s">
        <v>334</v>
      </c>
      <c r="E196" s="71">
        <f>1081/5280</f>
        <v>0.20473484848484849</v>
      </c>
      <c r="F196" s="54" t="s">
        <v>532</v>
      </c>
      <c r="G196" s="54" t="s">
        <v>717</v>
      </c>
      <c r="H196" s="53" t="s">
        <v>339</v>
      </c>
    </row>
    <row r="197" spans="1:8" s="53" customFormat="1" x14ac:dyDescent="0.25">
      <c r="A197" s="18" t="s">
        <v>334</v>
      </c>
      <c r="B197" s="30" t="s">
        <v>718</v>
      </c>
      <c r="C197" s="53" t="s">
        <v>517</v>
      </c>
      <c r="D197" s="53" t="s">
        <v>714</v>
      </c>
      <c r="E197" s="71">
        <f>1266/5280</f>
        <v>0.23977272727272728</v>
      </c>
      <c r="F197" s="54" t="s">
        <v>232</v>
      </c>
      <c r="G197" s="54" t="s">
        <v>719</v>
      </c>
      <c r="H197" s="53" t="s">
        <v>339</v>
      </c>
    </row>
    <row r="198" spans="1:8" s="53" customFormat="1" x14ac:dyDescent="0.25">
      <c r="A198" s="18" t="s">
        <v>334</v>
      </c>
      <c r="B198" s="30" t="s">
        <v>720</v>
      </c>
      <c r="C198" s="53" t="s">
        <v>517</v>
      </c>
      <c r="D198" s="53" t="s">
        <v>714</v>
      </c>
      <c r="E198" s="71">
        <f>(205+422)/5280</f>
        <v>0.11874999999999999</v>
      </c>
      <c r="F198" s="54" t="s">
        <v>232</v>
      </c>
      <c r="G198" s="54" t="s">
        <v>721</v>
      </c>
      <c r="H198" s="53" t="s">
        <v>339</v>
      </c>
    </row>
    <row r="199" spans="1:8" s="53" customFormat="1" x14ac:dyDescent="0.25">
      <c r="A199" s="18" t="s">
        <v>334</v>
      </c>
      <c r="B199" s="30" t="s">
        <v>722</v>
      </c>
      <c r="C199" s="53" t="s">
        <v>517</v>
      </c>
      <c r="D199" s="53" t="s">
        <v>714</v>
      </c>
      <c r="E199" s="31">
        <f>(1465+323+146)/5280</f>
        <v>0.36628787878787877</v>
      </c>
      <c r="F199" s="54" t="s">
        <v>232</v>
      </c>
      <c r="G199" s="54" t="s">
        <v>2165</v>
      </c>
      <c r="H199" s="53" t="s">
        <v>2112</v>
      </c>
    </row>
    <row r="200" spans="1:8" s="56" customFormat="1" x14ac:dyDescent="0.25">
      <c r="A200" s="55" t="s">
        <v>334</v>
      </c>
      <c r="B200" s="67" t="s">
        <v>723</v>
      </c>
      <c r="C200" s="56" t="s">
        <v>517</v>
      </c>
      <c r="D200" s="56" t="s">
        <v>334</v>
      </c>
      <c r="E200" s="59" t="s">
        <v>354</v>
      </c>
      <c r="F200" s="56" t="s">
        <v>724</v>
      </c>
      <c r="G200" s="56" t="s">
        <v>725</v>
      </c>
      <c r="H200" s="56" t="s">
        <v>339</v>
      </c>
    </row>
    <row r="201" spans="1:8" s="53" customFormat="1" x14ac:dyDescent="0.25">
      <c r="A201" s="18" t="s">
        <v>334</v>
      </c>
      <c r="B201" s="30" t="s">
        <v>726</v>
      </c>
      <c r="C201" s="53" t="s">
        <v>517</v>
      </c>
      <c r="D201" s="53" t="s">
        <v>714</v>
      </c>
      <c r="E201" s="31">
        <f>(1684+646+79+191+123+51+32)/5280</f>
        <v>0.53143939393939399</v>
      </c>
      <c r="F201" s="54" t="s">
        <v>232</v>
      </c>
      <c r="G201" s="54" t="s">
        <v>2166</v>
      </c>
      <c r="H201" s="53" t="s">
        <v>2112</v>
      </c>
    </row>
    <row r="202" spans="1:8" s="53" customFormat="1" x14ac:dyDescent="0.25">
      <c r="A202" s="18" t="s">
        <v>334</v>
      </c>
      <c r="B202" s="30" t="s">
        <v>2167</v>
      </c>
      <c r="C202" s="53" t="s">
        <v>517</v>
      </c>
      <c r="D202" s="53" t="s">
        <v>714</v>
      </c>
      <c r="E202" s="31">
        <f>(1422+1812)/5280</f>
        <v>0.61250000000000004</v>
      </c>
      <c r="F202" s="54" t="s">
        <v>232</v>
      </c>
      <c r="G202" s="54" t="s">
        <v>2168</v>
      </c>
      <c r="H202" s="54" t="s">
        <v>2112</v>
      </c>
    </row>
    <row r="203" spans="1:8" s="56" customFormat="1" x14ac:dyDescent="0.25">
      <c r="A203" s="55" t="s">
        <v>334</v>
      </c>
      <c r="B203" s="67" t="s">
        <v>727</v>
      </c>
      <c r="C203" s="56" t="s">
        <v>517</v>
      </c>
      <c r="D203" s="56" t="s">
        <v>334</v>
      </c>
      <c r="E203" s="59" t="s">
        <v>354</v>
      </c>
      <c r="F203" s="56" t="s">
        <v>728</v>
      </c>
      <c r="G203" s="56" t="s">
        <v>729</v>
      </c>
      <c r="H203" s="56" t="s">
        <v>339</v>
      </c>
    </row>
    <row r="204" spans="1:8" s="56" customFormat="1" x14ac:dyDescent="0.25">
      <c r="A204" s="55" t="s">
        <v>334</v>
      </c>
      <c r="B204" s="67" t="s">
        <v>730</v>
      </c>
      <c r="C204" s="56" t="s">
        <v>517</v>
      </c>
      <c r="D204" s="56" t="s">
        <v>334</v>
      </c>
      <c r="E204" s="59" t="s">
        <v>354</v>
      </c>
      <c r="F204" s="56" t="s">
        <v>731</v>
      </c>
      <c r="G204" s="56" t="s">
        <v>732</v>
      </c>
      <c r="H204" s="56" t="s">
        <v>339</v>
      </c>
    </row>
    <row r="205" spans="1:8" s="56" customFormat="1" x14ac:dyDescent="0.25">
      <c r="A205" s="55" t="s">
        <v>334</v>
      </c>
      <c r="B205" s="67" t="s">
        <v>733</v>
      </c>
      <c r="C205" s="56" t="s">
        <v>517</v>
      </c>
      <c r="D205" s="56" t="s">
        <v>334</v>
      </c>
      <c r="E205" s="59" t="s">
        <v>354</v>
      </c>
      <c r="F205" s="56" t="s">
        <v>619</v>
      </c>
      <c r="G205" s="56" t="s">
        <v>734</v>
      </c>
      <c r="H205" s="56" t="s">
        <v>339</v>
      </c>
    </row>
    <row r="206" spans="1:8" s="53" customFormat="1" x14ac:dyDescent="0.25">
      <c r="A206" s="18" t="s">
        <v>334</v>
      </c>
      <c r="B206" s="30" t="s">
        <v>735</v>
      </c>
      <c r="C206" s="53" t="s">
        <v>517</v>
      </c>
      <c r="D206" s="53" t="s">
        <v>334</v>
      </c>
      <c r="E206" s="71">
        <f>1023/5280</f>
        <v>0.19375000000000001</v>
      </c>
      <c r="F206" s="54" t="s">
        <v>532</v>
      </c>
      <c r="G206" s="54" t="s">
        <v>736</v>
      </c>
      <c r="H206" s="53" t="s">
        <v>339</v>
      </c>
    </row>
    <row r="207" spans="1:8" s="53" customFormat="1" x14ac:dyDescent="0.25">
      <c r="A207" s="18" t="s">
        <v>334</v>
      </c>
      <c r="B207" s="30" t="s">
        <v>2169</v>
      </c>
      <c r="C207" s="53" t="s">
        <v>517</v>
      </c>
      <c r="D207" s="53" t="s">
        <v>2172</v>
      </c>
      <c r="E207" s="71">
        <f>249/5280</f>
        <v>4.7159090909090907E-2</v>
      </c>
      <c r="F207" s="54" t="s">
        <v>2170</v>
      </c>
      <c r="G207" s="54" t="s">
        <v>2171</v>
      </c>
      <c r="H207" s="53" t="s">
        <v>2112</v>
      </c>
    </row>
    <row r="208" spans="1:8" s="56" customFormat="1" x14ac:dyDescent="0.25">
      <c r="A208" s="55" t="s">
        <v>334</v>
      </c>
      <c r="B208" s="67" t="s">
        <v>737</v>
      </c>
      <c r="C208" s="56" t="s">
        <v>517</v>
      </c>
      <c r="D208" s="56" t="s">
        <v>334</v>
      </c>
      <c r="E208" s="59" t="s">
        <v>354</v>
      </c>
      <c r="F208" s="56" t="s">
        <v>738</v>
      </c>
      <c r="G208" s="56" t="s">
        <v>739</v>
      </c>
      <c r="H208" s="56" t="s">
        <v>339</v>
      </c>
    </row>
    <row r="209" spans="1:8" s="56" customFormat="1" x14ac:dyDescent="0.25">
      <c r="A209" s="55" t="s">
        <v>334</v>
      </c>
      <c r="B209" s="67" t="s">
        <v>740</v>
      </c>
      <c r="C209" s="56" t="s">
        <v>517</v>
      </c>
      <c r="D209" s="56" t="s">
        <v>334</v>
      </c>
      <c r="E209" s="59" t="s">
        <v>354</v>
      </c>
      <c r="F209" s="56" t="s">
        <v>741</v>
      </c>
      <c r="G209" s="56" t="s">
        <v>742</v>
      </c>
      <c r="H209" s="56" t="s">
        <v>339</v>
      </c>
    </row>
    <row r="210" spans="1:8" s="54" customFormat="1" x14ac:dyDescent="0.25">
      <c r="A210" s="32" t="s">
        <v>334</v>
      </c>
      <c r="B210" s="30" t="s">
        <v>2173</v>
      </c>
      <c r="C210" s="54" t="s">
        <v>517</v>
      </c>
      <c r="D210" s="54" t="s">
        <v>2175</v>
      </c>
      <c r="E210" s="60">
        <f>717/5280</f>
        <v>0.13579545454545455</v>
      </c>
      <c r="F210" s="54" t="s">
        <v>13</v>
      </c>
      <c r="G210" s="54" t="s">
        <v>2176</v>
      </c>
      <c r="H210" s="54" t="s">
        <v>2112</v>
      </c>
    </row>
    <row r="211" spans="1:8" s="56" customFormat="1" x14ac:dyDescent="0.25">
      <c r="A211" s="55" t="s">
        <v>334</v>
      </c>
      <c r="B211" s="67" t="s">
        <v>743</v>
      </c>
      <c r="C211" s="56" t="s">
        <v>517</v>
      </c>
      <c r="D211" s="56" t="s">
        <v>334</v>
      </c>
      <c r="E211" s="82" t="s">
        <v>354</v>
      </c>
      <c r="F211" s="56" t="s">
        <v>619</v>
      </c>
      <c r="G211" s="56" t="s">
        <v>744</v>
      </c>
      <c r="H211" s="56" t="s">
        <v>339</v>
      </c>
    </row>
    <row r="212" spans="1:8" s="53" customFormat="1" x14ac:dyDescent="0.25">
      <c r="A212" s="18" t="s">
        <v>334</v>
      </c>
      <c r="B212" s="30" t="s">
        <v>745</v>
      </c>
      <c r="C212" s="53" t="s">
        <v>517</v>
      </c>
      <c r="D212" s="53" t="s">
        <v>714</v>
      </c>
      <c r="E212" s="31">
        <f>1067/5280</f>
        <v>0.20208333333333334</v>
      </c>
      <c r="F212" s="54" t="s">
        <v>232</v>
      </c>
      <c r="G212" s="54" t="s">
        <v>746</v>
      </c>
      <c r="H212" s="53" t="s">
        <v>339</v>
      </c>
    </row>
    <row r="213" spans="1:8" s="54" customFormat="1" x14ac:dyDescent="0.25">
      <c r="A213" s="32" t="s">
        <v>334</v>
      </c>
      <c r="B213" s="30" t="s">
        <v>2177</v>
      </c>
      <c r="C213" s="54" t="s">
        <v>517</v>
      </c>
      <c r="D213" s="54" t="s">
        <v>2174</v>
      </c>
      <c r="E213" s="60">
        <f>927/5280</f>
        <v>0.17556818181818182</v>
      </c>
      <c r="F213" s="54" t="s">
        <v>13</v>
      </c>
      <c r="H213" s="54" t="s">
        <v>2112</v>
      </c>
    </row>
    <row r="214" spans="1:8" s="53" customFormat="1" x14ac:dyDescent="0.25">
      <c r="A214" s="18" t="s">
        <v>334</v>
      </c>
      <c r="B214" s="30" t="s">
        <v>2178</v>
      </c>
      <c r="C214" s="53" t="s">
        <v>517</v>
      </c>
      <c r="D214" s="54" t="s">
        <v>2179</v>
      </c>
      <c r="E214" s="31">
        <f>1574/5280</f>
        <v>0.2981060606060606</v>
      </c>
      <c r="F214" s="54" t="s">
        <v>13</v>
      </c>
      <c r="G214" s="54" t="s">
        <v>2180</v>
      </c>
      <c r="H214" s="53" t="s">
        <v>2112</v>
      </c>
    </row>
    <row r="215" spans="1:8" s="56" customFormat="1" x14ac:dyDescent="0.25">
      <c r="A215" s="55" t="s">
        <v>334</v>
      </c>
      <c r="B215" s="67" t="s">
        <v>747</v>
      </c>
      <c r="C215" s="56" t="s">
        <v>517</v>
      </c>
      <c r="D215" s="56" t="s">
        <v>334</v>
      </c>
      <c r="E215" s="59" t="s">
        <v>354</v>
      </c>
      <c r="F215" s="56" t="s">
        <v>708</v>
      </c>
      <c r="G215" s="56" t="s">
        <v>748</v>
      </c>
      <c r="H215" s="56" t="s">
        <v>339</v>
      </c>
    </row>
    <row r="216" spans="1:8" s="53" customFormat="1" x14ac:dyDescent="0.25">
      <c r="A216" s="18" t="s">
        <v>334</v>
      </c>
      <c r="B216" s="30" t="s">
        <v>749</v>
      </c>
      <c r="C216" s="53" t="s">
        <v>517</v>
      </c>
      <c r="D216" s="53" t="s">
        <v>714</v>
      </c>
      <c r="E216" s="31">
        <f>241/5280</f>
        <v>4.5643939393939396E-2</v>
      </c>
      <c r="F216" s="54" t="s">
        <v>154</v>
      </c>
      <c r="G216" s="54" t="s">
        <v>750</v>
      </c>
      <c r="H216" s="53" t="s">
        <v>2112</v>
      </c>
    </row>
    <row r="217" spans="1:8" s="56" customFormat="1" x14ac:dyDescent="0.25">
      <c r="A217" s="55" t="s">
        <v>334</v>
      </c>
      <c r="B217" s="67" t="s">
        <v>751</v>
      </c>
      <c r="C217" s="56" t="s">
        <v>517</v>
      </c>
      <c r="D217" s="56" t="s">
        <v>334</v>
      </c>
      <c r="E217" s="59" t="s">
        <v>354</v>
      </c>
      <c r="F217" s="56" t="s">
        <v>752</v>
      </c>
      <c r="G217" s="56" t="s">
        <v>2181</v>
      </c>
      <c r="H217" s="56" t="s">
        <v>339</v>
      </c>
    </row>
    <row r="218" spans="1:8" s="53" customFormat="1" x14ac:dyDescent="0.25">
      <c r="A218" s="18" t="s">
        <v>334</v>
      </c>
      <c r="B218" s="30" t="s">
        <v>753</v>
      </c>
      <c r="C218" s="53" t="s">
        <v>517</v>
      </c>
      <c r="D218" s="53" t="s">
        <v>754</v>
      </c>
      <c r="E218" s="31">
        <f>670/5280</f>
        <v>0.12689393939393939</v>
      </c>
      <c r="F218" s="54" t="s">
        <v>208</v>
      </c>
      <c r="H218" s="53" t="s">
        <v>339</v>
      </c>
    </row>
    <row r="219" spans="1:8" s="56" customFormat="1" x14ac:dyDescent="0.25">
      <c r="A219" s="55" t="s">
        <v>334</v>
      </c>
      <c r="B219" s="67" t="s">
        <v>755</v>
      </c>
      <c r="C219" s="56" t="s">
        <v>517</v>
      </c>
      <c r="D219" s="56" t="s">
        <v>334</v>
      </c>
      <c r="E219" s="59" t="s">
        <v>354</v>
      </c>
      <c r="F219" s="56" t="s">
        <v>2182</v>
      </c>
      <c r="G219" s="56" t="s">
        <v>756</v>
      </c>
      <c r="H219" s="56" t="s">
        <v>339</v>
      </c>
    </row>
    <row r="220" spans="1:8" s="53" customFormat="1" x14ac:dyDescent="0.25">
      <c r="A220" s="18" t="s">
        <v>334</v>
      </c>
      <c r="B220" s="30" t="s">
        <v>757</v>
      </c>
      <c r="C220" s="53" t="s">
        <v>517</v>
      </c>
      <c r="D220" s="53" t="s">
        <v>714</v>
      </c>
      <c r="E220" s="31">
        <f>(821+603)/5280</f>
        <v>0.26969696969696971</v>
      </c>
      <c r="F220" s="54" t="s">
        <v>232</v>
      </c>
      <c r="G220" s="54" t="s">
        <v>758</v>
      </c>
      <c r="H220" s="53" t="s">
        <v>2112</v>
      </c>
    </row>
    <row r="221" spans="1:8" s="56" customFormat="1" x14ac:dyDescent="0.25">
      <c r="A221" s="55" t="s">
        <v>334</v>
      </c>
      <c r="B221" s="67" t="s">
        <v>759</v>
      </c>
      <c r="C221" s="56" t="s">
        <v>517</v>
      </c>
      <c r="D221" s="56" t="s">
        <v>334</v>
      </c>
      <c r="E221" s="59" t="s">
        <v>354</v>
      </c>
      <c r="F221" s="56" t="s">
        <v>760</v>
      </c>
      <c r="G221" s="56" t="s">
        <v>761</v>
      </c>
      <c r="H221" s="56" t="s">
        <v>339</v>
      </c>
    </row>
    <row r="222" spans="1:8" s="56" customFormat="1" x14ac:dyDescent="0.25">
      <c r="A222" s="55" t="s">
        <v>334</v>
      </c>
      <c r="B222" s="67" t="s">
        <v>762</v>
      </c>
      <c r="C222" s="56" t="s">
        <v>517</v>
      </c>
      <c r="D222" s="56" t="s">
        <v>714</v>
      </c>
      <c r="E222" s="59" t="s">
        <v>354</v>
      </c>
      <c r="F222" s="56" t="s">
        <v>480</v>
      </c>
      <c r="G222" s="56" t="s">
        <v>763</v>
      </c>
      <c r="H222" s="56" t="s">
        <v>339</v>
      </c>
    </row>
    <row r="223" spans="1:8" s="56" customFormat="1" x14ac:dyDescent="0.25">
      <c r="A223" s="55" t="s">
        <v>334</v>
      </c>
      <c r="B223" s="67" t="s">
        <v>764</v>
      </c>
      <c r="C223" s="56" t="s">
        <v>517</v>
      </c>
      <c r="D223" s="56" t="s">
        <v>334</v>
      </c>
      <c r="E223" s="59" t="s">
        <v>354</v>
      </c>
      <c r="F223" s="56" t="s">
        <v>765</v>
      </c>
      <c r="G223" s="56" t="s">
        <v>766</v>
      </c>
      <c r="H223" s="56" t="s">
        <v>339</v>
      </c>
    </row>
    <row r="224" spans="1:8" s="56" customFormat="1" x14ac:dyDescent="0.25">
      <c r="A224" s="55" t="s">
        <v>334</v>
      </c>
      <c r="B224" s="67" t="s">
        <v>767</v>
      </c>
      <c r="C224" s="56" t="s">
        <v>517</v>
      </c>
      <c r="D224" s="56" t="s">
        <v>334</v>
      </c>
      <c r="E224" s="59" t="s">
        <v>354</v>
      </c>
      <c r="F224" s="56" t="s">
        <v>622</v>
      </c>
      <c r="G224" s="56" t="s">
        <v>768</v>
      </c>
      <c r="H224" s="56" t="s">
        <v>339</v>
      </c>
    </row>
    <row r="225" spans="1:8" s="56" customFormat="1" x14ac:dyDescent="0.25">
      <c r="A225" s="55" t="s">
        <v>334</v>
      </c>
      <c r="B225" s="67" t="s">
        <v>769</v>
      </c>
      <c r="C225" s="56" t="s">
        <v>517</v>
      </c>
      <c r="D225" s="56" t="s">
        <v>334</v>
      </c>
      <c r="E225" s="59" t="s">
        <v>354</v>
      </c>
      <c r="F225" s="56" t="s">
        <v>770</v>
      </c>
      <c r="G225" s="56" t="s">
        <v>771</v>
      </c>
      <c r="H225" s="56" t="s">
        <v>339</v>
      </c>
    </row>
    <row r="226" spans="1:8" s="53" customFormat="1" x14ac:dyDescent="0.25">
      <c r="A226" s="18" t="s">
        <v>334</v>
      </c>
      <c r="B226" s="30" t="s">
        <v>772</v>
      </c>
      <c r="C226" s="53" t="s">
        <v>517</v>
      </c>
      <c r="D226" s="53" t="s">
        <v>714</v>
      </c>
      <c r="E226" s="31">
        <f>577/5280</f>
        <v>0.10928030303030303</v>
      </c>
      <c r="F226" s="54" t="s">
        <v>232</v>
      </c>
      <c r="G226" s="54" t="s">
        <v>773</v>
      </c>
      <c r="H226" s="53" t="s">
        <v>339</v>
      </c>
    </row>
    <row r="227" spans="1:8" s="53" customFormat="1" x14ac:dyDescent="0.25">
      <c r="A227" s="18" t="s">
        <v>334</v>
      </c>
      <c r="B227" s="30" t="s">
        <v>2183</v>
      </c>
      <c r="C227" s="54" t="s">
        <v>517</v>
      </c>
      <c r="D227" s="54" t="s">
        <v>2185</v>
      </c>
      <c r="E227" s="31">
        <f>(973+1630)/5280</f>
        <v>0.49299242424242423</v>
      </c>
      <c r="F227" s="54" t="s">
        <v>13</v>
      </c>
      <c r="G227" s="54" t="s">
        <v>2186</v>
      </c>
      <c r="H227" s="54" t="s">
        <v>2112</v>
      </c>
    </row>
    <row r="228" spans="1:8" s="53" customFormat="1" x14ac:dyDescent="0.25">
      <c r="A228" s="18" t="s">
        <v>334</v>
      </c>
      <c r="B228" s="30" t="s">
        <v>2187</v>
      </c>
      <c r="C228" s="54" t="s">
        <v>517</v>
      </c>
      <c r="D228" s="54" t="s">
        <v>518</v>
      </c>
      <c r="E228" s="60">
        <f>2695/5280</f>
        <v>0.51041666666666663</v>
      </c>
      <c r="F228" s="54" t="s">
        <v>13</v>
      </c>
      <c r="G228" s="54"/>
      <c r="H228" s="54" t="s">
        <v>2112</v>
      </c>
    </row>
    <row r="229" spans="1:8" s="56" customFormat="1" x14ac:dyDescent="0.25">
      <c r="A229" s="55" t="s">
        <v>334</v>
      </c>
      <c r="B229" s="67" t="s">
        <v>774</v>
      </c>
      <c r="C229" s="56" t="s">
        <v>517</v>
      </c>
      <c r="D229" s="56" t="s">
        <v>334</v>
      </c>
      <c r="E229" s="59" t="s">
        <v>354</v>
      </c>
      <c r="F229" s="56" t="s">
        <v>622</v>
      </c>
      <c r="G229" s="56" t="s">
        <v>775</v>
      </c>
      <c r="H229" s="56" t="s">
        <v>339</v>
      </c>
    </row>
    <row r="230" spans="1:8" s="53" customFormat="1" x14ac:dyDescent="0.25">
      <c r="A230" s="18" t="s">
        <v>334</v>
      </c>
      <c r="B230" s="30" t="s">
        <v>2191</v>
      </c>
      <c r="C230" s="53" t="s">
        <v>517</v>
      </c>
      <c r="D230" s="53" t="s">
        <v>2190</v>
      </c>
      <c r="E230" s="60">
        <f>(434+885)/5280</f>
        <v>0.24981060606060607</v>
      </c>
      <c r="F230" s="54" t="s">
        <v>532</v>
      </c>
      <c r="G230" s="54" t="s">
        <v>2192</v>
      </c>
      <c r="H230" s="53" t="s">
        <v>2126</v>
      </c>
    </row>
    <row r="231" spans="1:8" s="53" customFormat="1" x14ac:dyDescent="0.25">
      <c r="A231" s="18" t="s">
        <v>334</v>
      </c>
      <c r="B231" s="30" t="s">
        <v>2188</v>
      </c>
      <c r="C231" s="53" t="s">
        <v>517</v>
      </c>
      <c r="D231" s="53" t="s">
        <v>518</v>
      </c>
      <c r="E231" s="31">
        <f>908/5280</f>
        <v>0.17196969696969697</v>
      </c>
      <c r="F231" s="54" t="s">
        <v>9</v>
      </c>
      <c r="G231" s="54"/>
      <c r="H231" s="54" t="s">
        <v>2112</v>
      </c>
    </row>
    <row r="232" spans="1:8" s="53" customFormat="1" x14ac:dyDescent="0.25">
      <c r="A232" s="18" t="s">
        <v>334</v>
      </c>
      <c r="B232" s="30" t="s">
        <v>2189</v>
      </c>
      <c r="C232" s="53" t="s">
        <v>517</v>
      </c>
      <c r="D232" s="53" t="s">
        <v>2184</v>
      </c>
      <c r="E232" s="31">
        <f>1692/5280</f>
        <v>0.32045454545454544</v>
      </c>
      <c r="F232" s="54" t="s">
        <v>208</v>
      </c>
      <c r="G232" s="54"/>
      <c r="H232" s="54" t="s">
        <v>2112</v>
      </c>
    </row>
    <row r="233" spans="1:8" s="53" customFormat="1" x14ac:dyDescent="0.25">
      <c r="A233" s="18" t="s">
        <v>334</v>
      </c>
      <c r="B233" s="30" t="s">
        <v>776</v>
      </c>
      <c r="C233" s="53" t="s">
        <v>517</v>
      </c>
      <c r="D233" s="53" t="s">
        <v>518</v>
      </c>
      <c r="E233" s="71">
        <f>1072/5280</f>
        <v>0.20303030303030303</v>
      </c>
      <c r="F233" s="54" t="s">
        <v>232</v>
      </c>
      <c r="G233" s="54" t="s">
        <v>777</v>
      </c>
      <c r="H233" s="53" t="s">
        <v>339</v>
      </c>
    </row>
    <row r="234" spans="1:8" s="53" customFormat="1" x14ac:dyDescent="0.25">
      <c r="A234" s="18" t="s">
        <v>334</v>
      </c>
      <c r="B234" s="30" t="s">
        <v>778</v>
      </c>
      <c r="C234" s="53" t="s">
        <v>517</v>
      </c>
      <c r="D234" s="53" t="s">
        <v>262</v>
      </c>
      <c r="E234" s="31">
        <f>(4415+91+1275+3420)/5280</f>
        <v>1.7426136363636364</v>
      </c>
      <c r="F234" s="54" t="s">
        <v>779</v>
      </c>
      <c r="G234" s="54" t="s">
        <v>780</v>
      </c>
      <c r="H234" s="53" t="s">
        <v>339</v>
      </c>
    </row>
    <row r="235" spans="1:8" s="56" customFormat="1" x14ac:dyDescent="0.25">
      <c r="A235" s="55" t="s">
        <v>334</v>
      </c>
      <c r="B235" s="67" t="s">
        <v>2202</v>
      </c>
      <c r="C235" s="56" t="s">
        <v>434</v>
      </c>
      <c r="D235" s="56" t="s">
        <v>784</v>
      </c>
      <c r="E235" s="57" t="s">
        <v>354</v>
      </c>
      <c r="F235" s="56" t="s">
        <v>574</v>
      </c>
      <c r="G235" s="56" t="s">
        <v>2203</v>
      </c>
      <c r="H235" s="56" t="s">
        <v>339</v>
      </c>
    </row>
    <row r="236" spans="1:8" s="54" customFormat="1" x14ac:dyDescent="0.25">
      <c r="A236" s="32" t="s">
        <v>334</v>
      </c>
      <c r="B236" s="30" t="s">
        <v>2204</v>
      </c>
      <c r="C236" s="54" t="s">
        <v>434</v>
      </c>
      <c r="D236" s="54" t="s">
        <v>784</v>
      </c>
      <c r="E236" s="60">
        <f>4923/5280</f>
        <v>0.93238636363636362</v>
      </c>
      <c r="F236" s="54" t="s">
        <v>232</v>
      </c>
      <c r="G236" s="54" t="s">
        <v>2205</v>
      </c>
      <c r="H236" s="54" t="s">
        <v>2126</v>
      </c>
    </row>
    <row r="237" spans="1:8" s="53" customFormat="1" x14ac:dyDescent="0.25">
      <c r="A237" s="18" t="s">
        <v>334</v>
      </c>
      <c r="B237" s="30" t="s">
        <v>781</v>
      </c>
      <c r="C237" s="53" t="s">
        <v>434</v>
      </c>
      <c r="D237" s="53" t="s">
        <v>262</v>
      </c>
      <c r="E237" s="36">
        <v>0.83</v>
      </c>
      <c r="F237" s="54" t="s">
        <v>782</v>
      </c>
      <c r="G237" s="54" t="s">
        <v>2206</v>
      </c>
      <c r="H237" s="53" t="s">
        <v>2126</v>
      </c>
    </row>
    <row r="238" spans="1:8" s="53" customFormat="1" x14ac:dyDescent="0.25">
      <c r="A238" s="18" t="s">
        <v>334</v>
      </c>
      <c r="B238" s="30" t="s">
        <v>783</v>
      </c>
      <c r="C238" s="53" t="s">
        <v>434</v>
      </c>
      <c r="D238" s="53" t="s">
        <v>784</v>
      </c>
      <c r="E238" s="60">
        <f>2322/5280</f>
        <v>0.43977272727272726</v>
      </c>
      <c r="F238" s="54" t="s">
        <v>154</v>
      </c>
      <c r="G238" s="54" t="s">
        <v>785</v>
      </c>
      <c r="H238" s="53" t="s">
        <v>339</v>
      </c>
    </row>
    <row r="239" spans="1:8" s="53" customFormat="1" x14ac:dyDescent="0.25">
      <c r="A239" s="18" t="s">
        <v>334</v>
      </c>
      <c r="B239" s="30" t="s">
        <v>2207</v>
      </c>
      <c r="C239" s="53" t="s">
        <v>434</v>
      </c>
      <c r="D239" s="53" t="s">
        <v>515</v>
      </c>
      <c r="E239" s="60">
        <f>436/5280</f>
        <v>8.257575757575758E-2</v>
      </c>
      <c r="F239" s="54" t="s">
        <v>208</v>
      </c>
      <c r="G239" s="54" t="s">
        <v>2208</v>
      </c>
      <c r="H239" s="54" t="s">
        <v>2112</v>
      </c>
    </row>
    <row r="240" spans="1:8" s="53" customFormat="1" x14ac:dyDescent="0.25">
      <c r="A240" s="18" t="s">
        <v>334</v>
      </c>
      <c r="B240" s="30" t="s">
        <v>786</v>
      </c>
      <c r="C240" s="53" t="s">
        <v>434</v>
      </c>
      <c r="D240" s="53" t="s">
        <v>784</v>
      </c>
      <c r="E240" s="60">
        <f>(1108+629)/5280</f>
        <v>0.32897727272727273</v>
      </c>
      <c r="F240" s="54" t="s">
        <v>2209</v>
      </c>
      <c r="G240" s="54" t="s">
        <v>2210</v>
      </c>
      <c r="H240" s="53" t="s">
        <v>2126</v>
      </c>
    </row>
    <row r="241" spans="1:8" s="53" customFormat="1" x14ac:dyDescent="0.25">
      <c r="A241" s="18" t="s">
        <v>334</v>
      </c>
      <c r="B241" s="30" t="s">
        <v>2211</v>
      </c>
      <c r="C241" s="53" t="s">
        <v>434</v>
      </c>
      <c r="D241" s="53" t="s">
        <v>604</v>
      </c>
      <c r="E241" s="60">
        <f>1226/5280</f>
        <v>0.23219696969696971</v>
      </c>
      <c r="F241" s="54" t="s">
        <v>13</v>
      </c>
      <c r="G241" s="54" t="s">
        <v>2212</v>
      </c>
      <c r="H241" s="54" t="s">
        <v>2112</v>
      </c>
    </row>
    <row r="242" spans="1:8" s="56" customFormat="1" x14ac:dyDescent="0.25">
      <c r="A242" s="55" t="s">
        <v>334</v>
      </c>
      <c r="B242" s="67" t="s">
        <v>787</v>
      </c>
      <c r="C242" s="56" t="s">
        <v>434</v>
      </c>
      <c r="D242" s="56" t="s">
        <v>2193</v>
      </c>
      <c r="E242" s="57" t="s">
        <v>354</v>
      </c>
      <c r="F242" s="56" t="s">
        <v>805</v>
      </c>
      <c r="G242" s="56" t="s">
        <v>788</v>
      </c>
      <c r="H242" s="56" t="s">
        <v>2126</v>
      </c>
    </row>
    <row r="243" spans="1:8" s="53" customFormat="1" x14ac:dyDescent="0.25">
      <c r="A243" s="18" t="s">
        <v>334</v>
      </c>
      <c r="B243" s="30" t="s">
        <v>789</v>
      </c>
      <c r="C243" s="53" t="s">
        <v>434</v>
      </c>
      <c r="D243" s="53" t="s">
        <v>790</v>
      </c>
      <c r="E243" s="31">
        <f>1328/5280</f>
        <v>0.25151515151515152</v>
      </c>
      <c r="F243" s="54" t="s">
        <v>232</v>
      </c>
      <c r="G243" s="54" t="s">
        <v>791</v>
      </c>
      <c r="H243" s="53" t="s">
        <v>2126</v>
      </c>
    </row>
    <row r="244" spans="1:8" s="53" customFormat="1" x14ac:dyDescent="0.25">
      <c r="A244" s="18" t="s">
        <v>334</v>
      </c>
      <c r="B244" s="30" t="s">
        <v>792</v>
      </c>
      <c r="C244" s="53" t="s">
        <v>434</v>
      </c>
      <c r="D244" s="53" t="s">
        <v>790</v>
      </c>
      <c r="E244" s="31">
        <f>733/5280</f>
        <v>0.13882575757575757</v>
      </c>
      <c r="F244" s="54" t="s">
        <v>793</v>
      </c>
      <c r="G244" s="54" t="s">
        <v>794</v>
      </c>
      <c r="H244" s="53" t="s">
        <v>339</v>
      </c>
    </row>
    <row r="245" spans="1:8" s="53" customFormat="1" x14ac:dyDescent="0.25">
      <c r="A245" s="18" t="s">
        <v>334</v>
      </c>
      <c r="B245" s="30" t="s">
        <v>2194</v>
      </c>
      <c r="C245" s="53" t="s">
        <v>434</v>
      </c>
      <c r="D245" s="53" t="s">
        <v>790</v>
      </c>
      <c r="E245" s="31">
        <f>654/5280</f>
        <v>0.12386363636363637</v>
      </c>
      <c r="F245" s="54" t="s">
        <v>13</v>
      </c>
      <c r="G245" s="54" t="s">
        <v>2195</v>
      </c>
      <c r="H245" s="54" t="s">
        <v>2112</v>
      </c>
    </row>
    <row r="246" spans="1:8" s="53" customFormat="1" x14ac:dyDescent="0.25">
      <c r="A246" s="18" t="s">
        <v>334</v>
      </c>
      <c r="B246" s="30" t="s">
        <v>2213</v>
      </c>
      <c r="C246" s="53" t="s">
        <v>434</v>
      </c>
      <c r="D246" s="53" t="s">
        <v>795</v>
      </c>
      <c r="E246" s="60">
        <f>576/5280</f>
        <v>0.10909090909090909</v>
      </c>
      <c r="F246" s="54" t="s">
        <v>232</v>
      </c>
      <c r="G246" s="54" t="s">
        <v>796</v>
      </c>
      <c r="H246" s="53" t="s">
        <v>339</v>
      </c>
    </row>
    <row r="247" spans="1:8" s="56" customFormat="1" x14ac:dyDescent="0.25">
      <c r="A247" s="55" t="s">
        <v>334</v>
      </c>
      <c r="B247" s="67" t="s">
        <v>797</v>
      </c>
      <c r="C247" s="56" t="s">
        <v>434</v>
      </c>
      <c r="D247" s="56" t="s">
        <v>334</v>
      </c>
      <c r="E247" s="59" t="s">
        <v>354</v>
      </c>
      <c r="F247" s="56" t="s">
        <v>741</v>
      </c>
      <c r="G247" s="56" t="s">
        <v>798</v>
      </c>
      <c r="H247" s="56" t="s">
        <v>339</v>
      </c>
    </row>
    <row r="248" spans="1:8" s="56" customFormat="1" x14ac:dyDescent="0.25">
      <c r="A248" s="55" t="s">
        <v>334</v>
      </c>
      <c r="B248" s="67" t="s">
        <v>799</v>
      </c>
      <c r="C248" s="56" t="s">
        <v>434</v>
      </c>
      <c r="D248" s="56" t="s">
        <v>334</v>
      </c>
      <c r="E248" s="57" t="s">
        <v>354</v>
      </c>
      <c r="F248" s="56" t="s">
        <v>800</v>
      </c>
      <c r="G248" s="56" t="s">
        <v>801</v>
      </c>
      <c r="H248" s="56" t="s">
        <v>339</v>
      </c>
    </row>
    <row r="249" spans="1:8" s="53" customFormat="1" x14ac:dyDescent="0.25">
      <c r="A249" s="18" t="s">
        <v>334</v>
      </c>
      <c r="B249" s="30" t="s">
        <v>2214</v>
      </c>
      <c r="C249" s="53" t="s">
        <v>434</v>
      </c>
      <c r="D249" s="53" t="s">
        <v>2215</v>
      </c>
      <c r="E249" s="60">
        <f>540/5280</f>
        <v>0.10227272727272728</v>
      </c>
      <c r="F249" s="54" t="s">
        <v>532</v>
      </c>
      <c r="G249" s="54" t="s">
        <v>848</v>
      </c>
      <c r="H249" s="53" t="s">
        <v>2126</v>
      </c>
    </row>
    <row r="250" spans="1:8" s="53" customFormat="1" x14ac:dyDescent="0.25">
      <c r="A250" s="18" t="s">
        <v>334</v>
      </c>
      <c r="B250" s="30" t="s">
        <v>802</v>
      </c>
      <c r="C250" s="53" t="s">
        <v>434</v>
      </c>
      <c r="D250" s="53" t="s">
        <v>2215</v>
      </c>
      <c r="E250" s="60">
        <f>377/5280</f>
        <v>7.1401515151515146E-2</v>
      </c>
      <c r="F250" s="54" t="s">
        <v>803</v>
      </c>
      <c r="G250" s="54" t="s">
        <v>804</v>
      </c>
      <c r="H250" s="53" t="s">
        <v>2126</v>
      </c>
    </row>
    <row r="251" spans="1:8" s="56" customFormat="1" x14ac:dyDescent="0.25">
      <c r="A251" s="55" t="s">
        <v>334</v>
      </c>
      <c r="B251" s="67" t="s">
        <v>281</v>
      </c>
      <c r="C251" s="56" t="s">
        <v>434</v>
      </c>
      <c r="D251" s="56" t="s">
        <v>334</v>
      </c>
      <c r="E251" s="59" t="s">
        <v>354</v>
      </c>
      <c r="F251" s="56" t="s">
        <v>805</v>
      </c>
      <c r="G251" s="56" t="s">
        <v>806</v>
      </c>
      <c r="H251" s="56" t="s">
        <v>339</v>
      </c>
    </row>
    <row r="252" spans="1:8" s="54" customFormat="1" x14ac:dyDescent="0.25">
      <c r="A252" s="32" t="s">
        <v>334</v>
      </c>
      <c r="B252" s="30" t="s">
        <v>2216</v>
      </c>
      <c r="C252" s="54" t="s">
        <v>434</v>
      </c>
      <c r="D252" s="54" t="s">
        <v>795</v>
      </c>
      <c r="E252" s="60">
        <f>357/5280</f>
        <v>6.7613636363636362E-2</v>
      </c>
      <c r="F252" s="54" t="s">
        <v>232</v>
      </c>
      <c r="G252" s="54" t="s">
        <v>2217</v>
      </c>
      <c r="H252" s="53" t="s">
        <v>2126</v>
      </c>
    </row>
    <row r="253" spans="1:8" s="53" customFormat="1" x14ac:dyDescent="0.25">
      <c r="A253" s="18" t="s">
        <v>334</v>
      </c>
      <c r="B253" s="30" t="s">
        <v>807</v>
      </c>
      <c r="C253" s="53" t="s">
        <v>434</v>
      </c>
      <c r="D253" s="53" t="s">
        <v>808</v>
      </c>
      <c r="E253" s="60">
        <f>668/5280</f>
        <v>0.12651515151515152</v>
      </c>
      <c r="F253" s="54" t="s">
        <v>809</v>
      </c>
      <c r="G253" s="54" t="s">
        <v>810</v>
      </c>
      <c r="H253" s="53" t="s">
        <v>339</v>
      </c>
    </row>
    <row r="254" spans="1:8" s="53" customFormat="1" x14ac:dyDescent="0.25">
      <c r="A254" s="18" t="s">
        <v>334</v>
      </c>
      <c r="B254" s="30" t="s">
        <v>2218</v>
      </c>
      <c r="C254" s="53" t="s">
        <v>434</v>
      </c>
      <c r="D254" s="53" t="s">
        <v>795</v>
      </c>
      <c r="E254" s="60">
        <f>(818+531)/5280</f>
        <v>0.25549242424242424</v>
      </c>
      <c r="F254" s="54" t="s">
        <v>232</v>
      </c>
      <c r="G254" s="54"/>
      <c r="H254" s="54" t="s">
        <v>2112</v>
      </c>
    </row>
    <row r="255" spans="1:8" s="53" customFormat="1" x14ac:dyDescent="0.25">
      <c r="A255" s="18" t="s">
        <v>334</v>
      </c>
      <c r="B255" s="30" t="s">
        <v>2221</v>
      </c>
      <c r="C255" s="53" t="s">
        <v>434</v>
      </c>
      <c r="D255" s="53" t="s">
        <v>2219</v>
      </c>
      <c r="E255" s="60">
        <f>1470/5280</f>
        <v>0.27840909090909088</v>
      </c>
      <c r="F255" s="54" t="s">
        <v>532</v>
      </c>
      <c r="G255" s="54" t="s">
        <v>2220</v>
      </c>
      <c r="H255" s="54" t="s">
        <v>2112</v>
      </c>
    </row>
    <row r="256" spans="1:8" s="56" customFormat="1" x14ac:dyDescent="0.25">
      <c r="A256" s="55" t="s">
        <v>334</v>
      </c>
      <c r="B256" s="67" t="s">
        <v>811</v>
      </c>
      <c r="C256" s="56" t="s">
        <v>434</v>
      </c>
      <c r="D256" s="56" t="s">
        <v>334</v>
      </c>
      <c r="E256" s="59" t="s">
        <v>354</v>
      </c>
      <c r="F256" s="56" t="s">
        <v>760</v>
      </c>
      <c r="G256" s="56" t="s">
        <v>812</v>
      </c>
      <c r="H256" s="56" t="s">
        <v>339</v>
      </c>
    </row>
    <row r="257" spans="1:8" s="53" customFormat="1" x14ac:dyDescent="0.25">
      <c r="A257" s="18" t="s">
        <v>334</v>
      </c>
      <c r="B257" s="30" t="s">
        <v>813</v>
      </c>
      <c r="C257" s="53" t="s">
        <v>434</v>
      </c>
      <c r="D257" s="53" t="s">
        <v>795</v>
      </c>
      <c r="E257" s="60">
        <f>(441+285)/5280</f>
        <v>0.13750000000000001</v>
      </c>
      <c r="F257" s="54" t="s">
        <v>814</v>
      </c>
      <c r="G257" s="54" t="s">
        <v>815</v>
      </c>
      <c r="H257" s="53" t="s">
        <v>339</v>
      </c>
    </row>
    <row r="258" spans="1:8" s="56" customFormat="1" x14ac:dyDescent="0.25">
      <c r="A258" s="55" t="s">
        <v>334</v>
      </c>
      <c r="B258" s="67" t="s">
        <v>816</v>
      </c>
      <c r="C258" s="56" t="s">
        <v>434</v>
      </c>
      <c r="D258" s="56" t="s">
        <v>334</v>
      </c>
      <c r="E258" s="59" t="s">
        <v>354</v>
      </c>
      <c r="F258" s="56" t="s">
        <v>2222</v>
      </c>
      <c r="G258" s="56" t="s">
        <v>2223</v>
      </c>
      <c r="H258" s="56" t="s">
        <v>339</v>
      </c>
    </row>
    <row r="259" spans="1:8" s="56" customFormat="1" x14ac:dyDescent="0.25">
      <c r="A259" s="55" t="s">
        <v>334</v>
      </c>
      <c r="B259" s="67" t="s">
        <v>817</v>
      </c>
      <c r="C259" s="56" t="s">
        <v>434</v>
      </c>
      <c r="D259" s="56" t="s">
        <v>334</v>
      </c>
      <c r="E259" s="59" t="s">
        <v>354</v>
      </c>
      <c r="F259" s="56" t="s">
        <v>818</v>
      </c>
      <c r="G259" s="56" t="s">
        <v>819</v>
      </c>
      <c r="H259" s="56" t="s">
        <v>339</v>
      </c>
    </row>
    <row r="260" spans="1:8" s="53" customFormat="1" x14ac:dyDescent="0.25">
      <c r="A260" s="18" t="s">
        <v>334</v>
      </c>
      <c r="B260" s="30" t="s">
        <v>820</v>
      </c>
      <c r="C260" s="53" t="s">
        <v>821</v>
      </c>
      <c r="D260" s="53" t="s">
        <v>337</v>
      </c>
      <c r="E260" s="60">
        <f>(2315+540+974+2176)/5280</f>
        <v>1.137310606060606</v>
      </c>
      <c r="F260" s="54" t="s">
        <v>9</v>
      </c>
      <c r="G260" s="54" t="s">
        <v>2224</v>
      </c>
      <c r="H260" s="53" t="s">
        <v>2126</v>
      </c>
    </row>
    <row r="261" spans="1:8" s="53" customFormat="1" x14ac:dyDescent="0.25">
      <c r="A261" s="18" t="s">
        <v>334</v>
      </c>
      <c r="B261" s="30" t="s">
        <v>822</v>
      </c>
      <c r="C261" s="53" t="s">
        <v>821</v>
      </c>
      <c r="D261" s="53" t="s">
        <v>823</v>
      </c>
      <c r="E261" s="60">
        <f>5237/5280</f>
        <v>0.99185606060606057</v>
      </c>
      <c r="F261" s="54" t="s">
        <v>154</v>
      </c>
      <c r="G261" s="54" t="s">
        <v>824</v>
      </c>
      <c r="H261" s="53" t="s">
        <v>339</v>
      </c>
    </row>
    <row r="262" spans="1:8" s="53" customFormat="1" x14ac:dyDescent="0.25">
      <c r="A262" s="18" t="s">
        <v>334</v>
      </c>
      <c r="B262" s="30" t="s">
        <v>825</v>
      </c>
      <c r="C262" s="53" t="s">
        <v>821</v>
      </c>
      <c r="D262" s="53" t="s">
        <v>826</v>
      </c>
      <c r="E262" s="60">
        <f>3486/5280</f>
        <v>0.66022727272727277</v>
      </c>
      <c r="F262" s="54" t="s">
        <v>13</v>
      </c>
      <c r="G262" s="54" t="s">
        <v>827</v>
      </c>
      <c r="H262" s="53" t="s">
        <v>339</v>
      </c>
    </row>
    <row r="263" spans="1:8" s="53" customFormat="1" x14ac:dyDescent="0.25">
      <c r="A263" s="18" t="s">
        <v>334</v>
      </c>
      <c r="B263" s="30" t="s">
        <v>828</v>
      </c>
      <c r="C263" s="53" t="s">
        <v>821</v>
      </c>
      <c r="D263" s="53" t="s">
        <v>823</v>
      </c>
      <c r="E263" s="60">
        <f>413/5280</f>
        <v>7.8219696969696967E-2</v>
      </c>
      <c r="F263" s="54" t="s">
        <v>232</v>
      </c>
      <c r="G263" s="54" t="s">
        <v>775</v>
      </c>
      <c r="H263" s="53" t="s">
        <v>339</v>
      </c>
    </row>
    <row r="264" spans="1:8" s="53" customFormat="1" x14ac:dyDescent="0.25">
      <c r="A264" s="18" t="s">
        <v>334</v>
      </c>
      <c r="B264" s="30" t="s">
        <v>829</v>
      </c>
      <c r="C264" s="53" t="s">
        <v>821</v>
      </c>
      <c r="D264" s="53" t="s">
        <v>337</v>
      </c>
      <c r="E264" s="60">
        <f>1613/5280</f>
        <v>0.30549242424242423</v>
      </c>
      <c r="F264" s="54" t="s">
        <v>830</v>
      </c>
      <c r="G264" s="54" t="s">
        <v>831</v>
      </c>
      <c r="H264" s="53" t="s">
        <v>339</v>
      </c>
    </row>
    <row r="265" spans="1:8" s="53" customFormat="1" x14ac:dyDescent="0.25">
      <c r="A265" s="18" t="s">
        <v>334</v>
      </c>
      <c r="B265" s="30" t="s">
        <v>832</v>
      </c>
      <c r="C265" s="53" t="s">
        <v>821</v>
      </c>
      <c r="D265" s="53" t="s">
        <v>833</v>
      </c>
      <c r="E265" s="31">
        <f>2005/5280</f>
        <v>0.37973484848484851</v>
      </c>
      <c r="F265" s="54" t="s">
        <v>408</v>
      </c>
      <c r="G265" s="54" t="s">
        <v>834</v>
      </c>
      <c r="H265" s="53" t="s">
        <v>339</v>
      </c>
    </row>
    <row r="266" spans="1:8" s="53" customFormat="1" x14ac:dyDescent="0.25">
      <c r="A266" s="18" t="s">
        <v>334</v>
      </c>
      <c r="B266" s="30" t="s">
        <v>835</v>
      </c>
      <c r="C266" s="53" t="s">
        <v>821</v>
      </c>
      <c r="D266" s="53" t="s">
        <v>833</v>
      </c>
      <c r="E266" s="31">
        <f>1204/5280</f>
        <v>0.22803030303030303</v>
      </c>
      <c r="F266" s="54" t="s">
        <v>408</v>
      </c>
      <c r="G266" s="54" t="s">
        <v>836</v>
      </c>
      <c r="H266" s="53" t="s">
        <v>339</v>
      </c>
    </row>
    <row r="267" spans="1:8" s="56" customFormat="1" x14ac:dyDescent="0.25">
      <c r="A267" s="55" t="s">
        <v>334</v>
      </c>
      <c r="B267" s="67" t="s">
        <v>837</v>
      </c>
      <c r="C267" s="56" t="s">
        <v>821</v>
      </c>
      <c r="D267" s="56" t="s">
        <v>833</v>
      </c>
      <c r="E267" s="57" t="s">
        <v>354</v>
      </c>
      <c r="F267" s="56" t="s">
        <v>2196</v>
      </c>
      <c r="G267" s="56" t="s">
        <v>838</v>
      </c>
      <c r="H267" s="56" t="s">
        <v>339</v>
      </c>
    </row>
    <row r="268" spans="1:8" s="53" customFormat="1" x14ac:dyDescent="0.25">
      <c r="A268" s="18" t="s">
        <v>334</v>
      </c>
      <c r="B268" s="30" t="s">
        <v>839</v>
      </c>
      <c r="C268" s="53" t="s">
        <v>821</v>
      </c>
      <c r="D268" s="53" t="s">
        <v>840</v>
      </c>
      <c r="E268" s="60">
        <f>541/5280</f>
        <v>0.10246212121212121</v>
      </c>
      <c r="F268" s="54" t="s">
        <v>154</v>
      </c>
      <c r="G268" s="54" t="s">
        <v>775</v>
      </c>
      <c r="H268" s="53" t="s">
        <v>339</v>
      </c>
    </row>
    <row r="269" spans="1:8" s="56" customFormat="1" x14ac:dyDescent="0.25">
      <c r="A269" s="55" t="s">
        <v>334</v>
      </c>
      <c r="B269" s="67" t="s">
        <v>841</v>
      </c>
      <c r="C269" s="56" t="s">
        <v>821</v>
      </c>
      <c r="D269" s="56" t="s">
        <v>334</v>
      </c>
      <c r="E269" s="59" t="s">
        <v>354</v>
      </c>
      <c r="F269" s="56" t="s">
        <v>622</v>
      </c>
      <c r="G269" s="56" t="s">
        <v>842</v>
      </c>
      <c r="H269" s="56" t="s">
        <v>339</v>
      </c>
    </row>
    <row r="270" spans="1:8" s="53" customFormat="1" x14ac:dyDescent="0.25">
      <c r="A270" s="18" t="s">
        <v>334</v>
      </c>
      <c r="B270" s="30" t="s">
        <v>2230</v>
      </c>
      <c r="C270" s="53" t="s">
        <v>821</v>
      </c>
      <c r="D270" s="53" t="s">
        <v>2231</v>
      </c>
      <c r="E270" s="60">
        <f>1470/5280</f>
        <v>0.27840909090909088</v>
      </c>
      <c r="F270" s="54" t="s">
        <v>13</v>
      </c>
      <c r="G270" s="54" t="s">
        <v>2232</v>
      </c>
      <c r="H270" s="53" t="s">
        <v>2112</v>
      </c>
    </row>
    <row r="271" spans="1:8" s="56" customFormat="1" x14ac:dyDescent="0.25">
      <c r="A271" s="55" t="s">
        <v>334</v>
      </c>
      <c r="B271" s="67" t="s">
        <v>843</v>
      </c>
      <c r="C271" s="56" t="s">
        <v>821</v>
      </c>
      <c r="D271" s="56" t="s">
        <v>2233</v>
      </c>
      <c r="E271" s="57" t="s">
        <v>354</v>
      </c>
      <c r="F271" s="56" t="s">
        <v>805</v>
      </c>
      <c r="G271" s="56" t="s">
        <v>844</v>
      </c>
      <c r="H271" s="56" t="s">
        <v>339</v>
      </c>
    </row>
    <row r="272" spans="1:8" s="53" customFormat="1" x14ac:dyDescent="0.25">
      <c r="A272" s="18" t="s">
        <v>334</v>
      </c>
      <c r="B272" s="30" t="s">
        <v>845</v>
      </c>
      <c r="C272" s="53" t="s">
        <v>821</v>
      </c>
      <c r="D272" s="53" t="s">
        <v>840</v>
      </c>
      <c r="E272" s="60">
        <f>2675/5280</f>
        <v>0.50662878787878785</v>
      </c>
      <c r="F272" s="54" t="s">
        <v>232</v>
      </c>
      <c r="G272" s="54" t="s">
        <v>846</v>
      </c>
      <c r="H272" s="53" t="s">
        <v>339</v>
      </c>
    </row>
    <row r="273" spans="1:8" s="53" customFormat="1" x14ac:dyDescent="0.25">
      <c r="A273" s="18" t="s">
        <v>334</v>
      </c>
      <c r="B273" s="30" t="s">
        <v>847</v>
      </c>
      <c r="C273" s="53" t="s">
        <v>821</v>
      </c>
      <c r="D273" s="53" t="s">
        <v>2234</v>
      </c>
      <c r="E273" s="60">
        <f>2192/5280</f>
        <v>0.41515151515151516</v>
      </c>
      <c r="F273" s="54" t="s">
        <v>532</v>
      </c>
      <c r="G273" s="54" t="s">
        <v>848</v>
      </c>
      <c r="H273" s="53" t="s">
        <v>339</v>
      </c>
    </row>
    <row r="274" spans="1:8" s="56" customFormat="1" x14ac:dyDescent="0.25">
      <c r="A274" s="55" t="s">
        <v>334</v>
      </c>
      <c r="B274" s="67" t="s">
        <v>849</v>
      </c>
      <c r="C274" s="56" t="s">
        <v>821</v>
      </c>
      <c r="D274" s="56" t="s">
        <v>334</v>
      </c>
      <c r="E274" s="57" t="s">
        <v>354</v>
      </c>
      <c r="F274" s="56" t="s">
        <v>535</v>
      </c>
      <c r="G274" s="56" t="s">
        <v>576</v>
      </c>
      <c r="H274" s="56" t="s">
        <v>339</v>
      </c>
    </row>
    <row r="275" spans="1:8" s="53" customFormat="1" x14ac:dyDescent="0.25">
      <c r="A275" s="18" t="s">
        <v>334</v>
      </c>
      <c r="B275" s="30" t="s">
        <v>850</v>
      </c>
      <c r="C275" s="53" t="s">
        <v>821</v>
      </c>
      <c r="D275" s="53" t="s">
        <v>337</v>
      </c>
      <c r="E275" s="60">
        <f>4509/5280</f>
        <v>0.85397727272727275</v>
      </c>
      <c r="F275" s="54" t="s">
        <v>28</v>
      </c>
      <c r="G275" s="54" t="s">
        <v>851</v>
      </c>
      <c r="H275" s="53" t="s">
        <v>2126</v>
      </c>
    </row>
    <row r="276" spans="1:8" s="53" customFormat="1" x14ac:dyDescent="0.25">
      <c r="A276" s="18" t="s">
        <v>334</v>
      </c>
      <c r="B276" s="30" t="s">
        <v>2235</v>
      </c>
      <c r="C276" s="53" t="s">
        <v>821</v>
      </c>
      <c r="D276" s="53" t="s">
        <v>604</v>
      </c>
      <c r="E276" s="60">
        <f>(3258-1916)/5280</f>
        <v>0.25416666666666665</v>
      </c>
      <c r="F276" s="54" t="s">
        <v>208</v>
      </c>
      <c r="G276" s="54"/>
      <c r="H276" s="53" t="s">
        <v>2112</v>
      </c>
    </row>
    <row r="277" spans="1:8" s="53" customFormat="1" x14ac:dyDescent="0.25">
      <c r="A277" s="18" t="s">
        <v>334</v>
      </c>
      <c r="B277" s="30" t="s">
        <v>2236</v>
      </c>
      <c r="C277" s="53" t="s">
        <v>821</v>
      </c>
      <c r="D277" s="53" t="s">
        <v>604</v>
      </c>
      <c r="E277" s="60">
        <f>(3469+1916)/5280</f>
        <v>1.0198863636363635</v>
      </c>
      <c r="F277" s="54" t="s">
        <v>208</v>
      </c>
      <c r="G277" s="54" t="s">
        <v>2237</v>
      </c>
      <c r="H277" s="54" t="s">
        <v>2112</v>
      </c>
    </row>
    <row r="278" spans="1:8" s="53" customFormat="1" x14ac:dyDescent="0.25">
      <c r="A278" s="18" t="s">
        <v>334</v>
      </c>
      <c r="B278" s="30" t="s">
        <v>2238</v>
      </c>
      <c r="C278" s="53" t="s">
        <v>821</v>
      </c>
      <c r="D278" s="53" t="s">
        <v>604</v>
      </c>
      <c r="E278" s="60">
        <f>(281+155+110+182+156+347+2423+873)/5280</f>
        <v>0.85738636363636367</v>
      </c>
      <c r="F278" s="54" t="s">
        <v>2239</v>
      </c>
      <c r="G278" s="54" t="s">
        <v>2240</v>
      </c>
      <c r="H278" s="54" t="s">
        <v>2112</v>
      </c>
    </row>
    <row r="279" spans="1:8" s="53" customFormat="1" x14ac:dyDescent="0.25">
      <c r="A279" s="18" t="s">
        <v>334</v>
      </c>
      <c r="B279" s="30" t="s">
        <v>852</v>
      </c>
      <c r="C279" s="53" t="s">
        <v>821</v>
      </c>
      <c r="D279" s="53" t="s">
        <v>853</v>
      </c>
      <c r="E279" s="31">
        <f>1417/5280</f>
        <v>0.26837121212121212</v>
      </c>
      <c r="F279" s="54" t="s">
        <v>232</v>
      </c>
      <c r="G279" s="54"/>
      <c r="H279" s="53" t="s">
        <v>339</v>
      </c>
    </row>
    <row r="280" spans="1:8" s="53" customFormat="1" x14ac:dyDescent="0.25">
      <c r="A280" s="18" t="s">
        <v>334</v>
      </c>
      <c r="B280" s="30" t="s">
        <v>854</v>
      </c>
      <c r="C280" s="53" t="s">
        <v>821</v>
      </c>
      <c r="D280" s="53" t="s">
        <v>337</v>
      </c>
      <c r="E280" s="60">
        <f>18080/5280</f>
        <v>3.4242424242424243</v>
      </c>
      <c r="F280" s="54" t="s">
        <v>9</v>
      </c>
      <c r="G280" s="54" t="s">
        <v>2226</v>
      </c>
      <c r="H280" s="53" t="s">
        <v>2126</v>
      </c>
    </row>
    <row r="281" spans="1:8" s="53" customFormat="1" x14ac:dyDescent="0.25">
      <c r="A281" s="18" t="s">
        <v>334</v>
      </c>
      <c r="B281" s="30" t="s">
        <v>855</v>
      </c>
      <c r="C281" s="53" t="s">
        <v>821</v>
      </c>
      <c r="D281" s="53" t="s">
        <v>853</v>
      </c>
      <c r="E281" s="31">
        <f>4914/5280</f>
        <v>0.93068181818181817</v>
      </c>
      <c r="F281" s="54" t="s">
        <v>154</v>
      </c>
      <c r="G281" s="54" t="s">
        <v>2225</v>
      </c>
      <c r="H281" s="53" t="s">
        <v>2126</v>
      </c>
    </row>
    <row r="282" spans="1:8" s="53" customFormat="1" x14ac:dyDescent="0.25">
      <c r="A282" s="18" t="s">
        <v>334</v>
      </c>
      <c r="B282" s="30" t="s">
        <v>2227</v>
      </c>
      <c r="C282" s="53" t="s">
        <v>821</v>
      </c>
      <c r="D282" s="53" t="s">
        <v>54</v>
      </c>
      <c r="E282" s="31">
        <f>224/5280</f>
        <v>4.2424242424242427E-2</v>
      </c>
      <c r="F282" s="54" t="s">
        <v>914</v>
      </c>
      <c r="G282" s="54"/>
      <c r="H282" s="54" t="s">
        <v>2112</v>
      </c>
    </row>
    <row r="283" spans="1:8" s="53" customFormat="1" x14ac:dyDescent="0.25">
      <c r="A283" s="18" t="s">
        <v>334</v>
      </c>
      <c r="B283" s="30" t="s">
        <v>856</v>
      </c>
      <c r="C283" s="53" t="s">
        <v>821</v>
      </c>
      <c r="D283" s="53" t="s">
        <v>2228</v>
      </c>
      <c r="E283" s="31">
        <f>373/5280</f>
        <v>7.0643939393939398E-2</v>
      </c>
      <c r="F283" s="54" t="s">
        <v>232</v>
      </c>
      <c r="G283" s="54"/>
      <c r="H283" s="54" t="s">
        <v>2112</v>
      </c>
    </row>
    <row r="284" spans="1:8" s="53" customFormat="1" x14ac:dyDescent="0.25">
      <c r="A284" s="18" t="s">
        <v>334</v>
      </c>
      <c r="B284" s="30" t="s">
        <v>857</v>
      </c>
      <c r="C284" s="53" t="s">
        <v>821</v>
      </c>
      <c r="D284" s="53" t="s">
        <v>2229</v>
      </c>
      <c r="E284" s="31">
        <f>1797/5280</f>
        <v>0.34034090909090908</v>
      </c>
      <c r="F284" s="54" t="s">
        <v>532</v>
      </c>
      <c r="G284" s="54" t="s">
        <v>858</v>
      </c>
      <c r="H284" s="53" t="s">
        <v>2126</v>
      </c>
    </row>
    <row r="285" spans="1:8" s="25" customFormat="1" x14ac:dyDescent="0.25">
      <c r="A285" s="18" t="s">
        <v>334</v>
      </c>
      <c r="B285" s="30" t="s">
        <v>2197</v>
      </c>
      <c r="C285" s="53" t="s">
        <v>908</v>
      </c>
      <c r="D285" s="53" t="s">
        <v>346</v>
      </c>
      <c r="E285" s="68">
        <f>9322/5280</f>
        <v>1.7655303030303031</v>
      </c>
      <c r="F285" s="54" t="s">
        <v>208</v>
      </c>
      <c r="G285" s="54" t="s">
        <v>2198</v>
      </c>
      <c r="H285" s="54" t="s">
        <v>2112</v>
      </c>
    </row>
    <row r="286" spans="1:8" s="25" customFormat="1" x14ac:dyDescent="0.25">
      <c r="A286" s="18" t="s">
        <v>334</v>
      </c>
      <c r="B286" s="30" t="s">
        <v>2199</v>
      </c>
      <c r="C286" s="53" t="s">
        <v>908</v>
      </c>
      <c r="D286" s="53" t="s">
        <v>605</v>
      </c>
      <c r="E286" s="68">
        <f>870/5280</f>
        <v>0.16477272727272727</v>
      </c>
      <c r="F286" s="54" t="s">
        <v>13</v>
      </c>
      <c r="G286" s="54" t="s">
        <v>2198</v>
      </c>
      <c r="H286" s="54" t="s">
        <v>2112</v>
      </c>
    </row>
    <row r="287" spans="1:8" s="25" customFormat="1" x14ac:dyDescent="0.25">
      <c r="A287" s="18" t="s">
        <v>334</v>
      </c>
      <c r="B287" s="30" t="s">
        <v>2200</v>
      </c>
      <c r="C287" s="53" t="s">
        <v>908</v>
      </c>
      <c r="D287" s="53" t="s">
        <v>604</v>
      </c>
      <c r="E287" s="68">
        <f>2520/5280</f>
        <v>0.47727272727272729</v>
      </c>
      <c r="F287" s="54" t="s">
        <v>208</v>
      </c>
      <c r="G287" s="54" t="s">
        <v>2201</v>
      </c>
      <c r="H287" s="54" t="s">
        <v>2112</v>
      </c>
    </row>
    <row r="288" spans="1:8" s="56" customFormat="1" x14ac:dyDescent="0.25">
      <c r="A288" s="55" t="s">
        <v>334</v>
      </c>
      <c r="B288" s="67" t="s">
        <v>907</v>
      </c>
      <c r="C288" s="56" t="s">
        <v>908</v>
      </c>
      <c r="D288" s="56" t="s">
        <v>334</v>
      </c>
      <c r="E288" s="59" t="s">
        <v>354</v>
      </c>
      <c r="F288" s="56" t="s">
        <v>537</v>
      </c>
      <c r="G288" s="56" t="s">
        <v>213</v>
      </c>
      <c r="H288" s="53" t="s">
        <v>2244</v>
      </c>
    </row>
    <row r="289" spans="1:8" s="53" customFormat="1" x14ac:dyDescent="0.25">
      <c r="A289" s="18" t="s">
        <v>334</v>
      </c>
      <c r="B289" s="23" t="s">
        <v>945</v>
      </c>
      <c r="C289" s="53" t="s">
        <v>908</v>
      </c>
      <c r="D289" s="53" t="s">
        <v>946</v>
      </c>
      <c r="E289" s="31">
        <f>923/5280</f>
        <v>0.17481060606060606</v>
      </c>
      <c r="F289" s="54" t="s">
        <v>232</v>
      </c>
      <c r="G289" s="54" t="s">
        <v>947</v>
      </c>
      <c r="H289" s="53" t="s">
        <v>2244</v>
      </c>
    </row>
    <row r="290" spans="1:8" s="25" customFormat="1" x14ac:dyDescent="0.25">
      <c r="A290" s="18" t="s">
        <v>334</v>
      </c>
      <c r="B290" s="23" t="s">
        <v>2241</v>
      </c>
      <c r="C290" s="53" t="s">
        <v>908</v>
      </c>
      <c r="D290" s="53" t="s">
        <v>2242</v>
      </c>
      <c r="E290" s="31">
        <f>621/5280</f>
        <v>0.11761363636363636</v>
      </c>
      <c r="F290" s="54" t="s">
        <v>2243</v>
      </c>
      <c r="G290" s="54" t="s">
        <v>706</v>
      </c>
      <c r="H290" s="53" t="s">
        <v>2244</v>
      </c>
    </row>
    <row r="291" spans="1:8" s="25" customFormat="1" x14ac:dyDescent="0.25">
      <c r="A291" s="18" t="s">
        <v>334</v>
      </c>
      <c r="B291" s="23" t="s">
        <v>2247</v>
      </c>
      <c r="C291" s="25" t="s">
        <v>908</v>
      </c>
      <c r="D291" s="25" t="s">
        <v>948</v>
      </c>
      <c r="E291" s="68">
        <f>382/5280</f>
        <v>7.2348484848484843E-2</v>
      </c>
      <c r="F291" s="25" t="s">
        <v>232</v>
      </c>
      <c r="G291" s="25" t="s">
        <v>949</v>
      </c>
      <c r="H291" s="53" t="s">
        <v>2244</v>
      </c>
    </row>
    <row r="292" spans="1:8" s="25" customFormat="1" x14ac:dyDescent="0.25">
      <c r="A292" s="18" t="s">
        <v>334</v>
      </c>
      <c r="B292" s="23" t="s">
        <v>2245</v>
      </c>
      <c r="C292" s="25" t="s">
        <v>908</v>
      </c>
      <c r="D292" s="25" t="s">
        <v>948</v>
      </c>
      <c r="E292" s="68">
        <f>625/5280</f>
        <v>0.11837121212121213</v>
      </c>
      <c r="F292" s="25" t="s">
        <v>232</v>
      </c>
      <c r="G292" s="25" t="s">
        <v>2246</v>
      </c>
      <c r="H292" s="53" t="s">
        <v>2244</v>
      </c>
    </row>
    <row r="293" spans="1:8" s="25" customFormat="1" x14ac:dyDescent="0.25">
      <c r="A293" s="18" t="s">
        <v>334</v>
      </c>
      <c r="B293" s="23" t="s">
        <v>2248</v>
      </c>
      <c r="C293" s="25" t="s">
        <v>908</v>
      </c>
      <c r="D293" s="25" t="s">
        <v>948</v>
      </c>
      <c r="E293" s="68">
        <f>2009/5280</f>
        <v>0.38049242424242424</v>
      </c>
      <c r="F293" s="25" t="s">
        <v>232</v>
      </c>
      <c r="G293" s="25" t="s">
        <v>2249</v>
      </c>
      <c r="H293" s="53" t="s">
        <v>2244</v>
      </c>
    </row>
    <row r="294" spans="1:8" s="25" customFormat="1" x14ac:dyDescent="0.25">
      <c r="A294" s="18" t="s">
        <v>334</v>
      </c>
      <c r="B294" s="23" t="s">
        <v>950</v>
      </c>
      <c r="C294" s="25" t="s">
        <v>908</v>
      </c>
      <c r="D294" s="25" t="s">
        <v>951</v>
      </c>
      <c r="E294" s="68">
        <f>(6198+4926)/5280</f>
        <v>2.1068181818181819</v>
      </c>
      <c r="F294" s="25" t="s">
        <v>232</v>
      </c>
      <c r="G294" s="25" t="s">
        <v>952</v>
      </c>
      <c r="H294" s="53" t="s">
        <v>2244</v>
      </c>
    </row>
    <row r="295" spans="1:8" s="25" customFormat="1" x14ac:dyDescent="0.25">
      <c r="A295" s="18" t="s">
        <v>334</v>
      </c>
      <c r="B295" s="23" t="s">
        <v>2250</v>
      </c>
      <c r="C295" s="25" t="s">
        <v>908</v>
      </c>
      <c r="D295" s="25" t="s">
        <v>953</v>
      </c>
      <c r="E295" s="68">
        <f>2593/5280</f>
        <v>0.49109848484848484</v>
      </c>
      <c r="F295" s="25" t="s">
        <v>13</v>
      </c>
      <c r="H295" s="53" t="s">
        <v>2244</v>
      </c>
    </row>
    <row r="296" spans="1:8" s="25" customFormat="1" x14ac:dyDescent="0.25">
      <c r="A296" s="18" t="s">
        <v>334</v>
      </c>
      <c r="B296" s="23" t="s">
        <v>2252</v>
      </c>
      <c r="C296" s="25" t="s">
        <v>908</v>
      </c>
      <c r="D296" s="25" t="s">
        <v>2251</v>
      </c>
      <c r="E296" s="68">
        <f>2187/5280</f>
        <v>0.41420454545454544</v>
      </c>
      <c r="F296" s="25" t="s">
        <v>232</v>
      </c>
      <c r="G296" s="25" t="s">
        <v>1714</v>
      </c>
      <c r="H296" s="53" t="s">
        <v>2244</v>
      </c>
    </row>
    <row r="297" spans="1:8" s="25" customFormat="1" x14ac:dyDescent="0.25">
      <c r="A297" s="18" t="s">
        <v>334</v>
      </c>
      <c r="B297" s="23" t="s">
        <v>2253</v>
      </c>
      <c r="C297" s="25" t="s">
        <v>908</v>
      </c>
      <c r="D297" s="25" t="s">
        <v>2254</v>
      </c>
      <c r="E297" s="68">
        <f>721/5280</f>
        <v>0.13655303030303031</v>
      </c>
      <c r="F297" s="25" t="s">
        <v>232</v>
      </c>
      <c r="G297" s="25" t="s">
        <v>2255</v>
      </c>
      <c r="H297" s="53" t="s">
        <v>2244</v>
      </c>
    </row>
    <row r="298" spans="1:8" s="25" customFormat="1" x14ac:dyDescent="0.25">
      <c r="A298" s="18" t="s">
        <v>334</v>
      </c>
      <c r="B298" s="23" t="s">
        <v>2256</v>
      </c>
      <c r="C298" s="25" t="s">
        <v>908</v>
      </c>
      <c r="D298" s="25" t="s">
        <v>934</v>
      </c>
      <c r="E298" s="68">
        <f>522/5280</f>
        <v>9.8863636363636362E-2</v>
      </c>
      <c r="F298" s="25" t="s">
        <v>13</v>
      </c>
      <c r="H298" s="53" t="s">
        <v>2244</v>
      </c>
    </row>
    <row r="299" spans="1:8" s="25" customFormat="1" x14ac:dyDescent="0.25">
      <c r="A299" s="18" t="s">
        <v>334</v>
      </c>
      <c r="B299" s="23" t="s">
        <v>2260</v>
      </c>
      <c r="C299" s="25" t="s">
        <v>908</v>
      </c>
      <c r="D299" s="25" t="s">
        <v>941</v>
      </c>
      <c r="E299" s="68">
        <f>205/5280</f>
        <v>3.8825757575757576E-2</v>
      </c>
      <c r="F299" s="25" t="s">
        <v>871</v>
      </c>
      <c r="G299" s="25" t="s">
        <v>2257</v>
      </c>
      <c r="H299" s="53" t="s">
        <v>2244</v>
      </c>
    </row>
    <row r="300" spans="1:8" s="25" customFormat="1" x14ac:dyDescent="0.25">
      <c r="A300" s="18" t="s">
        <v>334</v>
      </c>
      <c r="B300" s="23" t="s">
        <v>2258</v>
      </c>
      <c r="C300" s="25" t="s">
        <v>908</v>
      </c>
      <c r="D300" s="25" t="s">
        <v>2254</v>
      </c>
      <c r="E300" s="68">
        <f>750/5280</f>
        <v>0.14204545454545456</v>
      </c>
      <c r="F300" s="25" t="s">
        <v>13</v>
      </c>
      <c r="G300" s="25" t="s">
        <v>2259</v>
      </c>
      <c r="H300" s="53" t="s">
        <v>2244</v>
      </c>
    </row>
    <row r="301" spans="1:8" s="53" customFormat="1" x14ac:dyDescent="0.25">
      <c r="A301" s="18" t="s">
        <v>334</v>
      </c>
      <c r="B301" s="30" t="s">
        <v>909</v>
      </c>
      <c r="C301" s="53" t="s">
        <v>908</v>
      </c>
      <c r="D301" s="53" t="s">
        <v>910</v>
      </c>
      <c r="E301" s="31">
        <f>(11542+17625)/5280</f>
        <v>5.5240530303030306</v>
      </c>
      <c r="F301" s="54" t="s">
        <v>911</v>
      </c>
      <c r="G301" s="54" t="s">
        <v>912</v>
      </c>
      <c r="H301" s="53" t="s">
        <v>2244</v>
      </c>
    </row>
    <row r="302" spans="1:8" s="53" customFormat="1" x14ac:dyDescent="0.25">
      <c r="A302" s="18" t="s">
        <v>334</v>
      </c>
      <c r="B302" s="30" t="s">
        <v>913</v>
      </c>
      <c r="C302" s="53" t="s">
        <v>908</v>
      </c>
      <c r="D302" s="53" t="s">
        <v>54</v>
      </c>
      <c r="E302" s="31">
        <f>416/5280</f>
        <v>7.8787878787878782E-2</v>
      </c>
      <c r="F302" s="54" t="s">
        <v>914</v>
      </c>
      <c r="G302" s="54" t="s">
        <v>132</v>
      </c>
      <c r="H302" s="53" t="s">
        <v>2244</v>
      </c>
    </row>
    <row r="303" spans="1:8" s="53" customFormat="1" x14ac:dyDescent="0.25">
      <c r="A303" s="18" t="s">
        <v>334</v>
      </c>
      <c r="B303" s="30" t="s">
        <v>2261</v>
      </c>
      <c r="C303" s="53" t="s">
        <v>908</v>
      </c>
      <c r="D303" s="53" t="s">
        <v>915</v>
      </c>
      <c r="E303" s="31">
        <f>7761/5280</f>
        <v>1.4698863636363637</v>
      </c>
      <c r="F303" s="54" t="s">
        <v>2262</v>
      </c>
      <c r="G303" s="54" t="s">
        <v>132</v>
      </c>
      <c r="H303" s="53" t="s">
        <v>2244</v>
      </c>
    </row>
    <row r="304" spans="1:8" s="53" customFormat="1" x14ac:dyDescent="0.25">
      <c r="A304" s="18" t="s">
        <v>334</v>
      </c>
      <c r="B304" s="30" t="s">
        <v>916</v>
      </c>
      <c r="C304" s="53" t="s">
        <v>908</v>
      </c>
      <c r="D304" s="53" t="s">
        <v>917</v>
      </c>
      <c r="E304" s="19" t="s">
        <v>354</v>
      </c>
      <c r="F304" s="54" t="s">
        <v>13</v>
      </c>
      <c r="G304" s="54" t="s">
        <v>2263</v>
      </c>
      <c r="H304" s="53" t="s">
        <v>2244</v>
      </c>
    </row>
    <row r="305" spans="1:8" s="53" customFormat="1" x14ac:dyDescent="0.25">
      <c r="A305" s="18" t="s">
        <v>334</v>
      </c>
      <c r="B305" s="30" t="s">
        <v>918</v>
      </c>
      <c r="C305" s="53" t="s">
        <v>908</v>
      </c>
      <c r="D305" s="53" t="s">
        <v>917</v>
      </c>
      <c r="E305" s="19">
        <v>2.3199999999999998</v>
      </c>
      <c r="F305" s="54" t="s">
        <v>13</v>
      </c>
      <c r="G305" s="54" t="s">
        <v>132</v>
      </c>
      <c r="H305" s="53" t="s">
        <v>2244</v>
      </c>
    </row>
    <row r="306" spans="1:8" s="53" customFormat="1" x14ac:dyDescent="0.25">
      <c r="A306" s="18" t="s">
        <v>334</v>
      </c>
      <c r="B306" s="30" t="s">
        <v>2264</v>
      </c>
      <c r="C306" s="53" t="s">
        <v>908</v>
      </c>
      <c r="D306" s="53" t="s">
        <v>919</v>
      </c>
      <c r="E306" s="19">
        <v>0.99</v>
      </c>
      <c r="F306" s="54" t="s">
        <v>2265</v>
      </c>
      <c r="G306" s="54" t="s">
        <v>132</v>
      </c>
      <c r="H306" s="53" t="s">
        <v>2244</v>
      </c>
    </row>
    <row r="307" spans="1:8" s="53" customFormat="1" x14ac:dyDescent="0.25">
      <c r="A307" s="18" t="s">
        <v>334</v>
      </c>
      <c r="B307" s="30" t="s">
        <v>2266</v>
      </c>
      <c r="C307" s="53" t="s">
        <v>908</v>
      </c>
      <c r="D307" s="53" t="s">
        <v>2267</v>
      </c>
      <c r="E307" s="19">
        <v>0.38</v>
      </c>
      <c r="F307" s="54" t="s">
        <v>13</v>
      </c>
      <c r="G307" s="54" t="s">
        <v>132</v>
      </c>
      <c r="H307" s="54" t="s">
        <v>2244</v>
      </c>
    </row>
    <row r="308" spans="1:8" s="53" customFormat="1" x14ac:dyDescent="0.25">
      <c r="A308" s="18" t="s">
        <v>334</v>
      </c>
      <c r="B308" s="30" t="s">
        <v>2268</v>
      </c>
      <c r="C308" s="53" t="s">
        <v>908</v>
      </c>
      <c r="D308" s="53" t="s">
        <v>941</v>
      </c>
      <c r="E308" s="31">
        <f>634/5280</f>
        <v>0.12007575757575757</v>
      </c>
      <c r="F308" s="54" t="s">
        <v>232</v>
      </c>
      <c r="G308" s="54" t="s">
        <v>2269</v>
      </c>
      <c r="H308" s="54" t="s">
        <v>2244</v>
      </c>
    </row>
    <row r="309" spans="1:8" s="53" customFormat="1" x14ac:dyDescent="0.25">
      <c r="A309" s="18" t="s">
        <v>334</v>
      </c>
      <c r="B309" s="30" t="s">
        <v>2270</v>
      </c>
      <c r="C309" s="53" t="s">
        <v>908</v>
      </c>
      <c r="D309" s="53" t="s">
        <v>17</v>
      </c>
      <c r="E309" s="31">
        <f>544/5280</f>
        <v>0.10303030303030303</v>
      </c>
      <c r="F309" s="54" t="s">
        <v>13</v>
      </c>
      <c r="G309" s="54" t="s">
        <v>2271</v>
      </c>
      <c r="H309" s="54" t="s">
        <v>2244</v>
      </c>
    </row>
    <row r="310" spans="1:8" s="53" customFormat="1" x14ac:dyDescent="0.25">
      <c r="A310" s="18" t="s">
        <v>334</v>
      </c>
      <c r="B310" s="30" t="s">
        <v>2272</v>
      </c>
      <c r="C310" s="53" t="s">
        <v>908</v>
      </c>
      <c r="D310" s="53" t="s">
        <v>17</v>
      </c>
      <c r="E310" s="31">
        <f>587/5280</f>
        <v>0.11117424242424243</v>
      </c>
      <c r="F310" s="54" t="s">
        <v>208</v>
      </c>
      <c r="G310" s="54" t="s">
        <v>2273</v>
      </c>
      <c r="H310" s="54" t="s">
        <v>2244</v>
      </c>
    </row>
    <row r="311" spans="1:8" s="53" customFormat="1" x14ac:dyDescent="0.25">
      <c r="A311" s="18" t="s">
        <v>334</v>
      </c>
      <c r="B311" s="23" t="s">
        <v>920</v>
      </c>
      <c r="C311" s="53" t="s">
        <v>908</v>
      </c>
      <c r="D311" s="53" t="s">
        <v>346</v>
      </c>
      <c r="E311" s="31">
        <f>5250/5280</f>
        <v>0.99431818181818177</v>
      </c>
      <c r="F311" s="54" t="s">
        <v>911</v>
      </c>
      <c r="H311" s="53" t="s">
        <v>2244</v>
      </c>
    </row>
    <row r="312" spans="1:8" s="53" customFormat="1" x14ac:dyDescent="0.25">
      <c r="A312" s="18" t="s">
        <v>334</v>
      </c>
      <c r="B312" s="23" t="s">
        <v>2274</v>
      </c>
      <c r="C312" s="53" t="s">
        <v>908</v>
      </c>
      <c r="D312" s="53" t="s">
        <v>941</v>
      </c>
      <c r="E312" s="31">
        <f>584/5280</f>
        <v>0.11060606060606061</v>
      </c>
      <c r="F312" s="54" t="s">
        <v>871</v>
      </c>
      <c r="G312" s="54" t="s">
        <v>2275</v>
      </c>
      <c r="H312" s="53" t="s">
        <v>2244</v>
      </c>
    </row>
    <row r="313" spans="1:8" s="53" customFormat="1" x14ac:dyDescent="0.25">
      <c r="A313" s="18" t="s">
        <v>334</v>
      </c>
      <c r="B313" s="23" t="s">
        <v>2276</v>
      </c>
      <c r="C313" s="53" t="s">
        <v>908</v>
      </c>
      <c r="D313" s="53" t="s">
        <v>934</v>
      </c>
      <c r="E313" s="31">
        <f>204/5280</f>
        <v>3.8636363636363635E-2</v>
      </c>
      <c r="F313" s="54" t="s">
        <v>13</v>
      </c>
      <c r="G313" s="54"/>
      <c r="H313" s="54" t="s">
        <v>2244</v>
      </c>
    </row>
    <row r="314" spans="1:8" s="53" customFormat="1" x14ac:dyDescent="0.25">
      <c r="A314" s="18" t="s">
        <v>334</v>
      </c>
      <c r="B314" s="23" t="s">
        <v>921</v>
      </c>
      <c r="C314" s="53" t="s">
        <v>908</v>
      </c>
      <c r="D314" s="53" t="s">
        <v>922</v>
      </c>
      <c r="E314" s="31">
        <f>2369/5280</f>
        <v>0.44867424242424242</v>
      </c>
      <c r="F314" s="54" t="s">
        <v>232</v>
      </c>
      <c r="G314" s="54"/>
      <c r="H314" s="53" t="s">
        <v>2244</v>
      </c>
    </row>
    <row r="315" spans="1:8" s="53" customFormat="1" x14ac:dyDescent="0.25">
      <c r="A315" s="18" t="s">
        <v>334</v>
      </c>
      <c r="B315" s="23" t="s">
        <v>923</v>
      </c>
      <c r="C315" s="53" t="s">
        <v>908</v>
      </c>
      <c r="D315" s="53" t="s">
        <v>924</v>
      </c>
      <c r="E315" s="71">
        <f>2283/5280</f>
        <v>0.43238636363636362</v>
      </c>
      <c r="F315" s="54" t="s">
        <v>232</v>
      </c>
      <c r="G315" s="54" t="s">
        <v>925</v>
      </c>
      <c r="H315" s="53" t="s">
        <v>2244</v>
      </c>
    </row>
    <row r="316" spans="1:8" s="53" customFormat="1" x14ac:dyDescent="0.25">
      <c r="A316" s="18" t="s">
        <v>334</v>
      </c>
      <c r="B316" s="23" t="s">
        <v>926</v>
      </c>
      <c r="C316" s="53" t="s">
        <v>908</v>
      </c>
      <c r="D316" s="53" t="s">
        <v>927</v>
      </c>
      <c r="E316" s="71">
        <f>4911/5280</f>
        <v>0.93011363636363631</v>
      </c>
      <c r="F316" s="54" t="s">
        <v>871</v>
      </c>
      <c r="G316" s="54" t="s">
        <v>2278</v>
      </c>
      <c r="H316" s="53" t="s">
        <v>2244</v>
      </c>
    </row>
    <row r="317" spans="1:8" s="53" customFormat="1" x14ac:dyDescent="0.25">
      <c r="A317" s="18" t="s">
        <v>334</v>
      </c>
      <c r="B317" s="23" t="s">
        <v>2279</v>
      </c>
      <c r="C317" s="53" t="s">
        <v>908</v>
      </c>
      <c r="D317" s="53" t="s">
        <v>928</v>
      </c>
      <c r="E317" s="71">
        <f>794/5280</f>
        <v>0.15037878787878789</v>
      </c>
      <c r="F317" s="54" t="s">
        <v>13</v>
      </c>
      <c r="G317" s="54" t="s">
        <v>929</v>
      </c>
      <c r="H317" s="53" t="s">
        <v>2244</v>
      </c>
    </row>
    <row r="318" spans="1:8" s="53" customFormat="1" x14ac:dyDescent="0.25">
      <c r="A318" s="18" t="s">
        <v>334</v>
      </c>
      <c r="B318" s="23" t="s">
        <v>2280</v>
      </c>
      <c r="C318" s="53" t="s">
        <v>908</v>
      </c>
      <c r="D318" s="53" t="s">
        <v>934</v>
      </c>
      <c r="E318" s="71">
        <f>263/5280</f>
        <v>4.9810606060606062E-2</v>
      </c>
      <c r="F318" s="54" t="s">
        <v>13</v>
      </c>
      <c r="G318" s="54"/>
      <c r="H318" s="54" t="s">
        <v>2244</v>
      </c>
    </row>
    <row r="319" spans="1:8" s="53" customFormat="1" x14ac:dyDescent="0.25">
      <c r="A319" s="18" t="s">
        <v>334</v>
      </c>
      <c r="B319" s="23" t="s">
        <v>930</v>
      </c>
      <c r="C319" s="53" t="s">
        <v>908</v>
      </c>
      <c r="D319" s="53" t="s">
        <v>931</v>
      </c>
      <c r="E319" s="71">
        <f>9693/5280</f>
        <v>1.8357954545454545</v>
      </c>
      <c r="F319" s="54" t="s">
        <v>2281</v>
      </c>
      <c r="G319" s="54" t="s">
        <v>932</v>
      </c>
      <c r="H319" s="53" t="s">
        <v>2244</v>
      </c>
    </row>
    <row r="320" spans="1:8" s="54" customFormat="1" x14ac:dyDescent="0.25">
      <c r="A320" s="32" t="s">
        <v>334</v>
      </c>
      <c r="B320" s="4" t="s">
        <v>933</v>
      </c>
      <c r="C320" s="54" t="s">
        <v>908</v>
      </c>
      <c r="D320" s="54" t="s">
        <v>934</v>
      </c>
      <c r="E320" s="81">
        <f>923/5280</f>
        <v>0.17481060606060606</v>
      </c>
      <c r="F320" s="54" t="s">
        <v>13</v>
      </c>
      <c r="H320" s="53" t="s">
        <v>2244</v>
      </c>
    </row>
    <row r="321" spans="1:8" s="54" customFormat="1" x14ac:dyDescent="0.25">
      <c r="A321" s="32" t="s">
        <v>334</v>
      </c>
      <c r="B321" s="4" t="s">
        <v>2282</v>
      </c>
      <c r="C321" s="54" t="s">
        <v>908</v>
      </c>
      <c r="D321" s="54" t="s">
        <v>605</v>
      </c>
      <c r="E321" s="81">
        <f>135/5280</f>
        <v>2.556818181818182E-2</v>
      </c>
      <c r="F321" s="54" t="s">
        <v>1872</v>
      </c>
      <c r="H321" s="54" t="s">
        <v>2244</v>
      </c>
    </row>
    <row r="322" spans="1:8" s="54" customFormat="1" x14ac:dyDescent="0.25">
      <c r="A322" s="32" t="s">
        <v>334</v>
      </c>
      <c r="B322" s="4" t="s">
        <v>933</v>
      </c>
      <c r="C322" s="54" t="s">
        <v>908</v>
      </c>
      <c r="D322" s="54" t="s">
        <v>935</v>
      </c>
      <c r="E322" s="27">
        <v>1.57</v>
      </c>
      <c r="F322" s="54" t="s">
        <v>232</v>
      </c>
      <c r="G322" s="54" t="s">
        <v>936</v>
      </c>
      <c r="H322" s="53" t="s">
        <v>2244</v>
      </c>
    </row>
    <row r="323" spans="1:8" s="53" customFormat="1" x14ac:dyDescent="0.25">
      <c r="A323" s="18" t="s">
        <v>334</v>
      </c>
      <c r="B323" s="23" t="s">
        <v>937</v>
      </c>
      <c r="C323" s="53" t="s">
        <v>908</v>
      </c>
      <c r="D323" s="53" t="s">
        <v>922</v>
      </c>
      <c r="E323" s="71">
        <f>1378/5280</f>
        <v>0.26098484848484849</v>
      </c>
      <c r="F323" s="54" t="s">
        <v>232</v>
      </c>
      <c r="G323" s="54" t="s">
        <v>938</v>
      </c>
      <c r="H323" s="53" t="s">
        <v>2244</v>
      </c>
    </row>
    <row r="324" spans="1:8" s="53" customFormat="1" x14ac:dyDescent="0.25">
      <c r="A324" s="18" t="s">
        <v>334</v>
      </c>
      <c r="B324" s="23" t="s">
        <v>939</v>
      </c>
      <c r="C324" s="53" t="s">
        <v>908</v>
      </c>
      <c r="D324" s="53" t="s">
        <v>940</v>
      </c>
      <c r="E324" s="71">
        <f>(80+1289)/5280</f>
        <v>0.25928030303030303</v>
      </c>
      <c r="F324" s="54" t="s">
        <v>9</v>
      </c>
      <c r="G324" s="54" t="s">
        <v>2283</v>
      </c>
      <c r="H324" s="53" t="s">
        <v>2244</v>
      </c>
    </row>
    <row r="325" spans="1:8" s="53" customFormat="1" x14ac:dyDescent="0.25">
      <c r="A325" s="18" t="s">
        <v>334</v>
      </c>
      <c r="B325" s="23" t="s">
        <v>2286</v>
      </c>
      <c r="C325" s="53" t="s">
        <v>908</v>
      </c>
      <c r="D325" s="53" t="s">
        <v>346</v>
      </c>
      <c r="E325" s="71">
        <f>6181/5280</f>
        <v>1.1706439393939394</v>
      </c>
      <c r="F325" s="54" t="s">
        <v>208</v>
      </c>
      <c r="G325" s="54" t="s">
        <v>2285</v>
      </c>
      <c r="H325" s="54" t="s">
        <v>2244</v>
      </c>
    </row>
    <row r="326" spans="1:8" s="53" customFormat="1" x14ac:dyDescent="0.25">
      <c r="A326" s="18" t="s">
        <v>334</v>
      </c>
      <c r="B326" s="23" t="s">
        <v>942</v>
      </c>
      <c r="C326" s="53" t="s">
        <v>908</v>
      </c>
      <c r="D326" s="53" t="s">
        <v>934</v>
      </c>
      <c r="E326" s="71">
        <f>0.71+0.13-0.24</f>
        <v>0.6</v>
      </c>
      <c r="F326" s="54" t="s">
        <v>13</v>
      </c>
      <c r="G326" s="54" t="s">
        <v>2284</v>
      </c>
      <c r="H326" s="53" t="s">
        <v>2244</v>
      </c>
    </row>
    <row r="327" spans="1:8" s="53" customFormat="1" x14ac:dyDescent="0.25">
      <c r="A327" s="18" t="s">
        <v>334</v>
      </c>
      <c r="B327" s="23" t="s">
        <v>943</v>
      </c>
      <c r="C327" s="53" t="s">
        <v>908</v>
      </c>
      <c r="D327" s="53" t="s">
        <v>944</v>
      </c>
      <c r="E327" s="71">
        <v>0.22</v>
      </c>
      <c r="F327" s="54" t="s">
        <v>232</v>
      </c>
      <c r="G327" s="54"/>
      <c r="H327" s="53" t="s">
        <v>2244</v>
      </c>
    </row>
    <row r="328" spans="1:8" s="53" customFormat="1" x14ac:dyDescent="0.25">
      <c r="A328" s="18" t="s">
        <v>334</v>
      </c>
      <c r="B328" s="23" t="s">
        <v>2287</v>
      </c>
      <c r="C328" s="53" t="s">
        <v>908</v>
      </c>
      <c r="D328" s="53" t="s">
        <v>927</v>
      </c>
      <c r="E328" s="71">
        <f>476/5280</f>
        <v>9.0151515151515149E-2</v>
      </c>
      <c r="F328" s="54" t="s">
        <v>871</v>
      </c>
      <c r="G328" s="54" t="s">
        <v>2288</v>
      </c>
      <c r="H328" s="54" t="s">
        <v>2244</v>
      </c>
    </row>
    <row r="329" spans="1:8" s="53" customFormat="1" x14ac:dyDescent="0.25">
      <c r="A329" s="18" t="s">
        <v>334</v>
      </c>
      <c r="B329" s="23" t="s">
        <v>2289</v>
      </c>
      <c r="C329" s="53" t="s">
        <v>908</v>
      </c>
      <c r="D329" s="53" t="s">
        <v>928</v>
      </c>
      <c r="E329" s="71">
        <f>583/5280</f>
        <v>0.11041666666666666</v>
      </c>
      <c r="F329" s="54" t="s">
        <v>208</v>
      </c>
      <c r="G329" s="54" t="s">
        <v>2290</v>
      </c>
      <c r="H329" s="54" t="s">
        <v>2244</v>
      </c>
    </row>
    <row r="330" spans="1:8" s="53" customFormat="1" x14ac:dyDescent="0.25">
      <c r="A330" s="18" t="s">
        <v>334</v>
      </c>
      <c r="B330" s="23" t="s">
        <v>2291</v>
      </c>
      <c r="C330" s="53" t="s">
        <v>908</v>
      </c>
      <c r="D330" s="53" t="s">
        <v>2292</v>
      </c>
      <c r="E330" s="71" t="s">
        <v>354</v>
      </c>
      <c r="F330" s="54" t="s">
        <v>2293</v>
      </c>
      <c r="G330" s="54" t="s">
        <v>2294</v>
      </c>
      <c r="H330" s="54" t="s">
        <v>2244</v>
      </c>
    </row>
    <row r="331" spans="1:8" s="53" customFormat="1" x14ac:dyDescent="0.25">
      <c r="A331" s="18" t="s">
        <v>334</v>
      </c>
      <c r="B331" s="23" t="s">
        <v>2295</v>
      </c>
      <c r="C331" s="53" t="s">
        <v>908</v>
      </c>
      <c r="D331" s="53" t="s">
        <v>941</v>
      </c>
      <c r="E331" s="71">
        <f>697/5280</f>
        <v>0.13200757575757577</v>
      </c>
      <c r="F331" s="54" t="s">
        <v>13</v>
      </c>
      <c r="G331" s="54" t="s">
        <v>848</v>
      </c>
      <c r="H331" s="54" t="s">
        <v>2244</v>
      </c>
    </row>
    <row r="332" spans="1:8" s="53" customFormat="1" x14ac:dyDescent="0.25">
      <c r="A332" s="18" t="s">
        <v>334</v>
      </c>
      <c r="B332" s="23" t="s">
        <v>2296</v>
      </c>
      <c r="C332" s="53" t="s">
        <v>908</v>
      </c>
      <c r="D332" s="53" t="s">
        <v>54</v>
      </c>
      <c r="E332" s="71">
        <f>341/5280</f>
        <v>6.458333333333334E-2</v>
      </c>
      <c r="F332" s="54" t="s">
        <v>914</v>
      </c>
      <c r="G332" s="54" t="s">
        <v>2297</v>
      </c>
      <c r="H332" s="54" t="s">
        <v>2244</v>
      </c>
    </row>
    <row r="333" spans="1:8" s="53" customFormat="1" x14ac:dyDescent="0.25">
      <c r="A333" s="18" t="s">
        <v>334</v>
      </c>
      <c r="B333" s="23" t="s">
        <v>2298</v>
      </c>
      <c r="C333" s="53" t="s">
        <v>908</v>
      </c>
      <c r="D333" s="53" t="s">
        <v>934</v>
      </c>
      <c r="E333" s="71">
        <f>364/5280</f>
        <v>6.8939393939393939E-2</v>
      </c>
      <c r="F333" s="54" t="s">
        <v>871</v>
      </c>
      <c r="G333" s="54" t="s">
        <v>2299</v>
      </c>
      <c r="H333" s="54" t="s">
        <v>2244</v>
      </c>
    </row>
    <row r="334" spans="1:8" s="53" customFormat="1" x14ac:dyDescent="0.25">
      <c r="A334" s="18" t="s">
        <v>334</v>
      </c>
      <c r="B334" s="23" t="s">
        <v>2300</v>
      </c>
      <c r="C334" s="53" t="s">
        <v>908</v>
      </c>
      <c r="D334" s="53" t="s">
        <v>2292</v>
      </c>
      <c r="E334" s="71">
        <f>312/5280</f>
        <v>5.909090909090909E-2</v>
      </c>
      <c r="F334" s="54" t="s">
        <v>232</v>
      </c>
      <c r="G334" s="54" t="s">
        <v>848</v>
      </c>
      <c r="H334" s="54" t="s">
        <v>2244</v>
      </c>
    </row>
    <row r="335" spans="1:8" s="53" customFormat="1" x14ac:dyDescent="0.25">
      <c r="A335" s="18" t="s">
        <v>334</v>
      </c>
      <c r="B335" s="23" t="s">
        <v>2302</v>
      </c>
      <c r="C335" s="53" t="s">
        <v>908</v>
      </c>
      <c r="D335" s="53" t="s">
        <v>2292</v>
      </c>
      <c r="E335" s="71">
        <f>160/5280</f>
        <v>3.0303030303030304E-2</v>
      </c>
      <c r="F335" s="54" t="s">
        <v>232</v>
      </c>
      <c r="G335" s="54" t="s">
        <v>2301</v>
      </c>
      <c r="H335" s="54" t="s">
        <v>2244</v>
      </c>
    </row>
    <row r="336" spans="1:8" s="53" customFormat="1" x14ac:dyDescent="0.25">
      <c r="A336" s="18" t="s">
        <v>334</v>
      </c>
      <c r="B336" s="53" t="s">
        <v>954</v>
      </c>
      <c r="C336" s="53" t="s">
        <v>908</v>
      </c>
      <c r="D336" s="53" t="s">
        <v>605</v>
      </c>
      <c r="E336" s="19">
        <v>0</v>
      </c>
      <c r="F336" s="53" t="s">
        <v>227</v>
      </c>
      <c r="G336" s="54" t="s">
        <v>2390</v>
      </c>
      <c r="H336" s="53" t="s">
        <v>2244</v>
      </c>
    </row>
    <row r="337" spans="1:8" s="53" customFormat="1" x14ac:dyDescent="0.25">
      <c r="A337" s="18" t="s">
        <v>334</v>
      </c>
      <c r="B337" s="53" t="s">
        <v>955</v>
      </c>
      <c r="C337" s="53" t="s">
        <v>908</v>
      </c>
      <c r="D337" s="53" t="s">
        <v>5</v>
      </c>
      <c r="E337" s="31">
        <f>(5501)/5280</f>
        <v>1.0418560606060605</v>
      </c>
      <c r="F337" s="53" t="s">
        <v>8</v>
      </c>
      <c r="G337" s="53" t="s">
        <v>2277</v>
      </c>
      <c r="H337" s="53" t="s">
        <v>2244</v>
      </c>
    </row>
    <row r="338" spans="1:8" s="53" customFormat="1" x14ac:dyDescent="0.25">
      <c r="A338" s="18" t="s">
        <v>334</v>
      </c>
      <c r="B338" s="30" t="s">
        <v>859</v>
      </c>
      <c r="C338" s="53" t="s">
        <v>860</v>
      </c>
      <c r="D338" s="53" t="s">
        <v>861</v>
      </c>
      <c r="E338" s="36">
        <v>3.62</v>
      </c>
      <c r="F338" s="54" t="s">
        <v>13</v>
      </c>
      <c r="G338" s="54" t="s">
        <v>862</v>
      </c>
      <c r="H338" s="54" t="s">
        <v>2304</v>
      </c>
    </row>
    <row r="339" spans="1:8" s="53" customFormat="1" x14ac:dyDescent="0.25">
      <c r="A339" s="18" t="s">
        <v>334</v>
      </c>
      <c r="B339" s="30" t="s">
        <v>863</v>
      </c>
      <c r="C339" s="53" t="s">
        <v>860</v>
      </c>
      <c r="D339" s="53" t="s">
        <v>681</v>
      </c>
      <c r="E339" s="19">
        <f>4.95+3.82</f>
        <v>8.77</v>
      </c>
      <c r="F339" s="54" t="s">
        <v>13</v>
      </c>
      <c r="G339" s="54" t="s">
        <v>864</v>
      </c>
      <c r="H339" s="54" t="s">
        <v>2304</v>
      </c>
    </row>
    <row r="340" spans="1:8" s="53" customFormat="1" x14ac:dyDescent="0.25">
      <c r="A340" s="18" t="s">
        <v>334</v>
      </c>
      <c r="B340" s="23" t="s">
        <v>865</v>
      </c>
      <c r="C340" s="53" t="s">
        <v>860</v>
      </c>
      <c r="D340" s="53" t="s">
        <v>5</v>
      </c>
      <c r="E340" s="19">
        <v>0.56000000000000005</v>
      </c>
      <c r="F340" s="54" t="s">
        <v>8</v>
      </c>
      <c r="G340" s="54" t="s">
        <v>132</v>
      </c>
      <c r="H340" s="54" t="s">
        <v>2304</v>
      </c>
    </row>
    <row r="341" spans="1:8" s="53" customFormat="1" x14ac:dyDescent="0.25">
      <c r="A341" s="18" t="s">
        <v>334</v>
      </c>
      <c r="B341" s="30" t="s">
        <v>866</v>
      </c>
      <c r="C341" s="53" t="s">
        <v>860</v>
      </c>
      <c r="D341" s="53" t="s">
        <v>861</v>
      </c>
      <c r="E341" s="31">
        <v>0.4</v>
      </c>
      <c r="F341" s="54" t="s">
        <v>13</v>
      </c>
      <c r="G341" s="54" t="s">
        <v>867</v>
      </c>
      <c r="H341" s="53" t="s">
        <v>2303</v>
      </c>
    </row>
    <row r="342" spans="1:8" s="53" customFormat="1" x14ac:dyDescent="0.25">
      <c r="A342" s="18" t="s">
        <v>334</v>
      </c>
      <c r="B342" s="30" t="s">
        <v>2305</v>
      </c>
      <c r="C342" s="53" t="s">
        <v>860</v>
      </c>
      <c r="D342" s="53" t="s">
        <v>346</v>
      </c>
      <c r="E342" s="31">
        <f>1080/5280</f>
        <v>0.20454545454545456</v>
      </c>
      <c r="F342" s="54" t="s">
        <v>208</v>
      </c>
      <c r="G342" s="54"/>
      <c r="H342" s="54" t="s">
        <v>2112</v>
      </c>
    </row>
    <row r="343" spans="1:8" s="53" customFormat="1" x14ac:dyDescent="0.25">
      <c r="A343" s="18" t="s">
        <v>334</v>
      </c>
      <c r="B343" s="30" t="s">
        <v>868</v>
      </c>
      <c r="C343" s="53" t="s">
        <v>860</v>
      </c>
      <c r="D343" s="53" t="s">
        <v>861</v>
      </c>
      <c r="E343" s="31">
        <f>318/5280</f>
        <v>6.0227272727272727E-2</v>
      </c>
      <c r="F343" s="54" t="s">
        <v>13</v>
      </c>
      <c r="G343" s="54"/>
      <c r="H343" s="53" t="s">
        <v>2303</v>
      </c>
    </row>
    <row r="344" spans="1:8" s="53" customFormat="1" x14ac:dyDescent="0.25">
      <c r="A344" s="18" t="s">
        <v>334</v>
      </c>
      <c r="B344" s="30" t="s">
        <v>869</v>
      </c>
      <c r="C344" s="53" t="s">
        <v>860</v>
      </c>
      <c r="D344" s="23" t="s">
        <v>604</v>
      </c>
      <c r="E344" s="31">
        <f>(1146+203+498)/5280</f>
        <v>0.34981060606060604</v>
      </c>
      <c r="F344" s="54" t="s">
        <v>13</v>
      </c>
      <c r="G344" s="54" t="s">
        <v>2306</v>
      </c>
      <c r="H344" s="53" t="s">
        <v>2303</v>
      </c>
    </row>
    <row r="345" spans="1:8" s="53" customFormat="1" x14ac:dyDescent="0.25">
      <c r="A345" s="18" t="s">
        <v>334</v>
      </c>
      <c r="B345" s="30" t="s">
        <v>2307</v>
      </c>
      <c r="C345" s="53" t="s">
        <v>860</v>
      </c>
      <c r="D345" s="53" t="s">
        <v>870</v>
      </c>
      <c r="E345" s="31">
        <f>1605/5280</f>
        <v>0.30397727272727271</v>
      </c>
      <c r="F345" s="54" t="s">
        <v>871</v>
      </c>
      <c r="G345" s="54" t="s">
        <v>2308</v>
      </c>
      <c r="H345" s="53" t="s">
        <v>2303</v>
      </c>
    </row>
    <row r="346" spans="1:8" s="53" customFormat="1" x14ac:dyDescent="0.25">
      <c r="A346" s="18" t="s">
        <v>334</v>
      </c>
      <c r="B346" s="30" t="s">
        <v>2309</v>
      </c>
      <c r="C346" s="53" t="s">
        <v>860</v>
      </c>
      <c r="D346" s="53" t="s">
        <v>2310</v>
      </c>
      <c r="E346" s="31">
        <f>(199+104+102+463+2556)/5280</f>
        <v>0.64848484848484844</v>
      </c>
      <c r="F346" s="54" t="s">
        <v>871</v>
      </c>
      <c r="G346" s="54" t="s">
        <v>2311</v>
      </c>
      <c r="H346" s="53" t="s">
        <v>2303</v>
      </c>
    </row>
    <row r="347" spans="1:8" s="53" customFormat="1" x14ac:dyDescent="0.25">
      <c r="A347" s="18" t="s">
        <v>334</v>
      </c>
      <c r="B347" s="30" t="s">
        <v>135</v>
      </c>
      <c r="C347" s="53" t="s">
        <v>860</v>
      </c>
      <c r="D347" s="53" t="s">
        <v>54</v>
      </c>
      <c r="E347" s="31">
        <f>2790/5280</f>
        <v>0.52840909090909094</v>
      </c>
      <c r="F347" s="54" t="s">
        <v>873</v>
      </c>
      <c r="G347" s="54" t="s">
        <v>874</v>
      </c>
      <c r="H347" s="53" t="s">
        <v>2303</v>
      </c>
    </row>
    <row r="348" spans="1:8" s="53" customFormat="1" x14ac:dyDescent="0.25">
      <c r="A348" s="18" t="s">
        <v>334</v>
      </c>
      <c r="B348" s="30" t="s">
        <v>875</v>
      </c>
      <c r="C348" s="53" t="s">
        <v>860</v>
      </c>
      <c r="D348" s="53" t="s">
        <v>872</v>
      </c>
      <c r="E348" s="31">
        <f>2529/5280</f>
        <v>0.47897727272727275</v>
      </c>
      <c r="F348" s="54" t="s">
        <v>871</v>
      </c>
      <c r="G348" s="54" t="s">
        <v>876</v>
      </c>
      <c r="H348" s="53" t="s">
        <v>2303</v>
      </c>
    </row>
    <row r="349" spans="1:8" s="53" customFormat="1" x14ac:dyDescent="0.25">
      <c r="A349" s="18" t="s">
        <v>334</v>
      </c>
      <c r="B349" s="30" t="s">
        <v>2312</v>
      </c>
      <c r="C349" s="53" t="s">
        <v>860</v>
      </c>
      <c r="D349" s="53" t="s">
        <v>877</v>
      </c>
      <c r="E349" s="31">
        <f>1929/5280</f>
        <v>0.36534090909090911</v>
      </c>
      <c r="F349" s="54" t="s">
        <v>871</v>
      </c>
      <c r="G349" s="54" t="s">
        <v>213</v>
      </c>
      <c r="H349" s="53" t="s">
        <v>2303</v>
      </c>
    </row>
    <row r="350" spans="1:8" s="53" customFormat="1" x14ac:dyDescent="0.25">
      <c r="A350" s="18" t="s">
        <v>334</v>
      </c>
      <c r="B350" s="30" t="s">
        <v>2313</v>
      </c>
      <c r="C350" s="53" t="s">
        <v>860</v>
      </c>
      <c r="D350" s="53" t="s">
        <v>870</v>
      </c>
      <c r="E350" s="31">
        <f>1057/5280</f>
        <v>0.20018939393939394</v>
      </c>
      <c r="F350" s="54" t="s">
        <v>232</v>
      </c>
      <c r="G350" s="54" t="s">
        <v>878</v>
      </c>
      <c r="H350" s="53" t="s">
        <v>2303</v>
      </c>
    </row>
    <row r="351" spans="1:8" s="53" customFormat="1" x14ac:dyDescent="0.25">
      <c r="A351" s="18" t="s">
        <v>334</v>
      </c>
      <c r="B351" s="30" t="s">
        <v>879</v>
      </c>
      <c r="C351" s="53" t="s">
        <v>860</v>
      </c>
      <c r="D351" s="23" t="s">
        <v>877</v>
      </c>
      <c r="E351" s="31">
        <f>468/5280</f>
        <v>8.8636363636363638E-2</v>
      </c>
      <c r="F351" s="54" t="s">
        <v>871</v>
      </c>
      <c r="G351" s="54"/>
      <c r="H351" s="53" t="s">
        <v>2303</v>
      </c>
    </row>
    <row r="352" spans="1:8" s="53" customFormat="1" x14ac:dyDescent="0.25">
      <c r="A352" s="18" t="s">
        <v>334</v>
      </c>
      <c r="B352" s="30" t="s">
        <v>880</v>
      </c>
      <c r="C352" s="53" t="s">
        <v>860</v>
      </c>
      <c r="D352" s="53" t="s">
        <v>861</v>
      </c>
      <c r="E352" s="31">
        <f>(1214+4129+1393)/5280</f>
        <v>1.2757575757575759</v>
      </c>
      <c r="F352" s="54" t="s">
        <v>13</v>
      </c>
      <c r="G352" s="54" t="s">
        <v>2314</v>
      </c>
      <c r="H352" s="53" t="s">
        <v>2303</v>
      </c>
    </row>
    <row r="353" spans="1:8" s="53" customFormat="1" x14ac:dyDescent="0.25">
      <c r="A353" s="18" t="s">
        <v>334</v>
      </c>
      <c r="B353" s="30" t="s">
        <v>881</v>
      </c>
      <c r="C353" s="53" t="s">
        <v>860</v>
      </c>
      <c r="D353" s="53" t="s">
        <v>877</v>
      </c>
      <c r="E353" s="31">
        <f>744/5280</f>
        <v>0.1409090909090909</v>
      </c>
      <c r="F353" s="54" t="s">
        <v>871</v>
      </c>
      <c r="G353" s="54"/>
      <c r="H353" s="53" t="s">
        <v>2303</v>
      </c>
    </row>
    <row r="354" spans="1:8" s="53" customFormat="1" x14ac:dyDescent="0.25">
      <c r="A354" s="18" t="s">
        <v>334</v>
      </c>
      <c r="B354" s="30" t="s">
        <v>882</v>
      </c>
      <c r="C354" s="53" t="s">
        <v>860</v>
      </c>
      <c r="D354" s="53" t="s">
        <v>870</v>
      </c>
      <c r="E354" s="31">
        <f>1916/5280</f>
        <v>0.36287878787878786</v>
      </c>
      <c r="F354" s="54" t="s">
        <v>232</v>
      </c>
      <c r="G354" s="54" t="s">
        <v>883</v>
      </c>
      <c r="H354" s="53" t="s">
        <v>2303</v>
      </c>
    </row>
    <row r="355" spans="1:8" s="53" customFormat="1" x14ac:dyDescent="0.25">
      <c r="A355" s="18" t="s">
        <v>334</v>
      </c>
      <c r="B355" s="30" t="s">
        <v>881</v>
      </c>
      <c r="C355" s="53" t="s">
        <v>860</v>
      </c>
      <c r="D355" s="53" t="s">
        <v>861</v>
      </c>
      <c r="E355" s="31">
        <f>236/5280</f>
        <v>4.46969696969697E-2</v>
      </c>
      <c r="F355" s="54" t="s">
        <v>871</v>
      </c>
      <c r="G355" s="54"/>
      <c r="H355" s="53" t="s">
        <v>2112</v>
      </c>
    </row>
    <row r="356" spans="1:8" s="53" customFormat="1" x14ac:dyDescent="0.25">
      <c r="A356" s="18" t="s">
        <v>334</v>
      </c>
      <c r="B356" s="30" t="s">
        <v>881</v>
      </c>
      <c r="C356" s="53" t="s">
        <v>860</v>
      </c>
      <c r="D356" s="53" t="s">
        <v>870</v>
      </c>
      <c r="E356" s="31">
        <f>358/5280</f>
        <v>6.7803030303030309E-2</v>
      </c>
      <c r="F356" s="54" t="s">
        <v>232</v>
      </c>
      <c r="G356" s="54" t="s">
        <v>153</v>
      </c>
      <c r="H356" s="54" t="s">
        <v>2112</v>
      </c>
    </row>
    <row r="357" spans="1:8" s="53" customFormat="1" x14ac:dyDescent="0.25">
      <c r="A357" s="18" t="s">
        <v>334</v>
      </c>
      <c r="B357" s="30" t="s">
        <v>2315</v>
      </c>
      <c r="C357" s="23" t="s">
        <v>860</v>
      </c>
      <c r="D357" s="53" t="s">
        <v>872</v>
      </c>
      <c r="E357" s="31">
        <f>6200/5280</f>
        <v>1.1742424242424243</v>
      </c>
      <c r="F357" s="54" t="s">
        <v>232</v>
      </c>
      <c r="G357" s="54" t="s">
        <v>884</v>
      </c>
      <c r="H357" s="53" t="s">
        <v>2303</v>
      </c>
    </row>
    <row r="358" spans="1:8" s="53" customFormat="1" x14ac:dyDescent="0.25">
      <c r="A358" s="18" t="s">
        <v>334</v>
      </c>
      <c r="B358" s="30" t="s">
        <v>2316</v>
      </c>
      <c r="C358" s="53" t="s">
        <v>860</v>
      </c>
      <c r="D358" s="23" t="s">
        <v>2318</v>
      </c>
      <c r="E358" s="31">
        <f>(1131+1128)/5280</f>
        <v>0.42784090909090911</v>
      </c>
      <c r="F358" s="54" t="s">
        <v>871</v>
      </c>
      <c r="G358" s="54" t="s">
        <v>2317</v>
      </c>
      <c r="H358" s="53" t="s">
        <v>2303</v>
      </c>
    </row>
    <row r="359" spans="1:8" s="53" customFormat="1" x14ac:dyDescent="0.25">
      <c r="A359" s="18" t="s">
        <v>334</v>
      </c>
      <c r="B359" s="30" t="s">
        <v>2319</v>
      </c>
      <c r="C359" s="53" t="s">
        <v>860</v>
      </c>
      <c r="D359" s="53" t="s">
        <v>605</v>
      </c>
      <c r="E359" s="31">
        <f>589/5280</f>
        <v>0.11155303030303031</v>
      </c>
      <c r="F359" s="54" t="s">
        <v>227</v>
      </c>
      <c r="G359" s="54"/>
      <c r="H359" s="53" t="s">
        <v>2303</v>
      </c>
    </row>
    <row r="360" spans="1:8" s="53" customFormat="1" x14ac:dyDescent="0.25">
      <c r="A360" s="18" t="s">
        <v>334</v>
      </c>
      <c r="B360" s="30" t="s">
        <v>885</v>
      </c>
      <c r="C360" s="53" t="s">
        <v>860</v>
      </c>
      <c r="D360" s="23" t="s">
        <v>886</v>
      </c>
      <c r="E360" s="31">
        <f>1927/5280</f>
        <v>0.36496212121212124</v>
      </c>
      <c r="F360" s="54" t="s">
        <v>871</v>
      </c>
      <c r="G360" s="54" t="s">
        <v>887</v>
      </c>
      <c r="H360" s="53" t="s">
        <v>2303</v>
      </c>
    </row>
    <row r="361" spans="1:8" s="53" customFormat="1" x14ac:dyDescent="0.25">
      <c r="A361" s="18" t="s">
        <v>334</v>
      </c>
      <c r="B361" s="30" t="s">
        <v>888</v>
      </c>
      <c r="C361" s="53" t="s">
        <v>860</v>
      </c>
      <c r="D361" s="53" t="s">
        <v>2321</v>
      </c>
      <c r="E361" s="31">
        <f>(200+2430)/5280</f>
        <v>0.49810606060606061</v>
      </c>
      <c r="F361" s="54" t="s">
        <v>232</v>
      </c>
      <c r="G361" s="54" t="s">
        <v>2320</v>
      </c>
      <c r="H361" s="53" t="s">
        <v>2303</v>
      </c>
    </row>
    <row r="362" spans="1:8" s="53" customFormat="1" x14ac:dyDescent="0.25">
      <c r="A362" s="18" t="s">
        <v>334</v>
      </c>
      <c r="B362" s="30" t="s">
        <v>2322</v>
      </c>
      <c r="C362" s="53" t="s">
        <v>860</v>
      </c>
      <c r="D362" s="23" t="s">
        <v>861</v>
      </c>
      <c r="E362" s="31">
        <f>(2058)/5280</f>
        <v>0.38977272727272727</v>
      </c>
      <c r="F362" s="54" t="s">
        <v>871</v>
      </c>
      <c r="G362" s="54"/>
      <c r="H362" s="53" t="s">
        <v>2303</v>
      </c>
    </row>
    <row r="363" spans="1:8" s="53" customFormat="1" x14ac:dyDescent="0.25">
      <c r="A363" s="18" t="s">
        <v>334</v>
      </c>
      <c r="B363" s="30" t="s">
        <v>889</v>
      </c>
      <c r="C363" s="53" t="s">
        <v>860</v>
      </c>
      <c r="D363" s="23" t="s">
        <v>890</v>
      </c>
      <c r="E363" s="31">
        <f>(5320+1539)/5280</f>
        <v>1.2990530303030303</v>
      </c>
      <c r="F363" s="54" t="s">
        <v>871</v>
      </c>
      <c r="G363" s="4" t="s">
        <v>891</v>
      </c>
      <c r="H363" s="53" t="s">
        <v>2303</v>
      </c>
    </row>
    <row r="364" spans="1:8" s="53" customFormat="1" x14ac:dyDescent="0.25">
      <c r="A364" s="18" t="s">
        <v>334</v>
      </c>
      <c r="B364" s="30" t="s">
        <v>2323</v>
      </c>
      <c r="C364" s="53" t="s">
        <v>860</v>
      </c>
      <c r="D364" s="23" t="s">
        <v>604</v>
      </c>
      <c r="E364" s="31">
        <f>100/5280</f>
        <v>1.893939393939394E-2</v>
      </c>
      <c r="F364" s="54" t="s">
        <v>13</v>
      </c>
      <c r="G364" s="4"/>
      <c r="H364" s="53" t="s">
        <v>2112</v>
      </c>
    </row>
    <row r="365" spans="1:8" s="53" customFormat="1" x14ac:dyDescent="0.25">
      <c r="A365" s="18" t="s">
        <v>334</v>
      </c>
      <c r="B365" s="30" t="s">
        <v>892</v>
      </c>
      <c r="C365" s="53" t="s">
        <v>860</v>
      </c>
      <c r="D365" s="23" t="s">
        <v>893</v>
      </c>
      <c r="E365" s="31">
        <f>(9368+1376)/5280</f>
        <v>2.0348484848484847</v>
      </c>
      <c r="F365" s="54" t="s">
        <v>13</v>
      </c>
      <c r="G365" s="4" t="s">
        <v>2324</v>
      </c>
      <c r="H365" s="53" t="s">
        <v>2303</v>
      </c>
    </row>
    <row r="366" spans="1:8" s="53" customFormat="1" x14ac:dyDescent="0.25">
      <c r="A366" s="18" t="s">
        <v>334</v>
      </c>
      <c r="B366" s="30" t="s">
        <v>894</v>
      </c>
      <c r="C366" s="53" t="s">
        <v>860</v>
      </c>
      <c r="D366" s="23" t="s">
        <v>861</v>
      </c>
      <c r="E366" s="71">
        <f>643/5280</f>
        <v>0.12178030303030303</v>
      </c>
      <c r="F366" s="54" t="s">
        <v>13</v>
      </c>
      <c r="G366" s="4" t="s">
        <v>895</v>
      </c>
      <c r="H366" s="53" t="s">
        <v>2303</v>
      </c>
    </row>
    <row r="367" spans="1:8" s="53" customFormat="1" x14ac:dyDescent="0.25">
      <c r="A367" s="18" t="s">
        <v>334</v>
      </c>
      <c r="B367" s="30" t="s">
        <v>896</v>
      </c>
      <c r="C367" s="53" t="s">
        <v>860</v>
      </c>
      <c r="D367" s="53" t="s">
        <v>861</v>
      </c>
      <c r="E367" s="31">
        <f>609/5280</f>
        <v>0.11534090909090909</v>
      </c>
      <c r="F367" s="54" t="s">
        <v>13</v>
      </c>
      <c r="G367" s="54" t="s">
        <v>897</v>
      </c>
      <c r="H367" s="53" t="s">
        <v>2303</v>
      </c>
    </row>
    <row r="368" spans="1:8" s="53" customFormat="1" x14ac:dyDescent="0.25">
      <c r="A368" s="18" t="s">
        <v>334</v>
      </c>
      <c r="B368" s="30" t="s">
        <v>898</v>
      </c>
      <c r="C368" s="53" t="s">
        <v>860</v>
      </c>
      <c r="D368" s="23" t="s">
        <v>870</v>
      </c>
      <c r="E368" s="31">
        <v>0.19</v>
      </c>
      <c r="F368" s="54" t="s">
        <v>232</v>
      </c>
      <c r="G368" s="54"/>
      <c r="H368" s="53" t="s">
        <v>2303</v>
      </c>
    </row>
    <row r="369" spans="1:8" s="53" customFormat="1" x14ac:dyDescent="0.25">
      <c r="A369" s="18" t="s">
        <v>334</v>
      </c>
      <c r="B369" s="30" t="s">
        <v>899</v>
      </c>
      <c r="C369" s="53" t="s">
        <v>860</v>
      </c>
      <c r="D369" s="53" t="s">
        <v>861</v>
      </c>
      <c r="E369" s="31">
        <f>(746+3475+1539+545)/5280</f>
        <v>1.1941287878787878</v>
      </c>
      <c r="F369" s="54" t="s">
        <v>13</v>
      </c>
      <c r="G369" s="54" t="s">
        <v>2325</v>
      </c>
      <c r="H369" s="53" t="s">
        <v>2303</v>
      </c>
    </row>
    <row r="370" spans="1:8" s="53" customFormat="1" x14ac:dyDescent="0.25">
      <c r="A370" s="18" t="s">
        <v>334</v>
      </c>
      <c r="B370" s="30" t="s">
        <v>2326</v>
      </c>
      <c r="C370" s="53" t="s">
        <v>860</v>
      </c>
      <c r="D370" s="23" t="s">
        <v>877</v>
      </c>
      <c r="E370" s="60">
        <f>1174/5280</f>
        <v>0.22234848484848485</v>
      </c>
      <c r="F370" s="54" t="s">
        <v>232</v>
      </c>
      <c r="G370" s="54"/>
      <c r="H370" s="53" t="s">
        <v>2303</v>
      </c>
    </row>
    <row r="371" spans="1:8" s="53" customFormat="1" x14ac:dyDescent="0.25">
      <c r="A371" s="18" t="s">
        <v>334</v>
      </c>
      <c r="B371" s="30" t="s">
        <v>900</v>
      </c>
      <c r="C371" s="53" t="s">
        <v>860</v>
      </c>
      <c r="D371" s="53" t="s">
        <v>870</v>
      </c>
      <c r="E371" s="31">
        <f>1174/5280</f>
        <v>0.22234848484848485</v>
      </c>
      <c r="F371" s="54" t="s">
        <v>232</v>
      </c>
      <c r="G371" s="54" t="s">
        <v>2327</v>
      </c>
      <c r="H371" s="53" t="s">
        <v>2303</v>
      </c>
    </row>
    <row r="372" spans="1:8" s="53" customFormat="1" x14ac:dyDescent="0.25">
      <c r="A372" s="18" t="s">
        <v>334</v>
      </c>
      <c r="B372" s="30" t="s">
        <v>2328</v>
      </c>
      <c r="C372" s="53" t="s">
        <v>860</v>
      </c>
      <c r="D372" s="53" t="s">
        <v>861</v>
      </c>
      <c r="E372" s="31">
        <f>924/5280</f>
        <v>0.17499999999999999</v>
      </c>
      <c r="F372" s="54" t="s">
        <v>13</v>
      </c>
      <c r="G372" s="54" t="s">
        <v>901</v>
      </c>
      <c r="H372" s="53" t="s">
        <v>2303</v>
      </c>
    </row>
    <row r="373" spans="1:8" s="53" customFormat="1" x14ac:dyDescent="0.25">
      <c r="A373" s="18" t="s">
        <v>334</v>
      </c>
      <c r="B373" s="30" t="s">
        <v>902</v>
      </c>
      <c r="C373" s="53" t="s">
        <v>860</v>
      </c>
      <c r="D373" s="53" t="s">
        <v>870</v>
      </c>
      <c r="E373" s="31">
        <f>268/5280</f>
        <v>5.0757575757575758E-2</v>
      </c>
      <c r="F373" s="54" t="s">
        <v>232</v>
      </c>
      <c r="G373" s="54" t="s">
        <v>903</v>
      </c>
      <c r="H373" s="53" t="s">
        <v>2303</v>
      </c>
    </row>
    <row r="374" spans="1:8" s="53" customFormat="1" x14ac:dyDescent="0.25">
      <c r="A374" s="18" t="s">
        <v>334</v>
      </c>
      <c r="B374" s="30" t="s">
        <v>2329</v>
      </c>
      <c r="C374" s="53" t="s">
        <v>860</v>
      </c>
      <c r="D374" s="53" t="s">
        <v>861</v>
      </c>
      <c r="E374" s="60">
        <f>409/5280</f>
        <v>7.7462121212121218E-2</v>
      </c>
      <c r="F374" s="54" t="s">
        <v>13</v>
      </c>
      <c r="G374" s="54" t="s">
        <v>2330</v>
      </c>
      <c r="H374" s="53" t="s">
        <v>2303</v>
      </c>
    </row>
    <row r="375" spans="1:8" s="53" customFormat="1" x14ac:dyDescent="0.25">
      <c r="A375" s="18" t="s">
        <v>334</v>
      </c>
      <c r="B375" s="30" t="s">
        <v>2331</v>
      </c>
      <c r="C375" s="53" t="s">
        <v>860</v>
      </c>
      <c r="D375" s="53" t="s">
        <v>2332</v>
      </c>
      <c r="E375" s="60">
        <f>911/5280</f>
        <v>0.1725378787878788</v>
      </c>
      <c r="F375" s="54" t="s">
        <v>208</v>
      </c>
      <c r="G375" s="54" t="s">
        <v>2330</v>
      </c>
      <c r="H375" s="54" t="s">
        <v>2112</v>
      </c>
    </row>
    <row r="376" spans="1:8" s="53" customFormat="1" x14ac:dyDescent="0.25">
      <c r="A376" s="18" t="s">
        <v>334</v>
      </c>
      <c r="B376" s="30" t="s">
        <v>2333</v>
      </c>
      <c r="C376" s="53" t="s">
        <v>860</v>
      </c>
      <c r="D376" s="53" t="s">
        <v>870</v>
      </c>
      <c r="E376" s="60">
        <f>1889/5280</f>
        <v>0.35776515151515154</v>
      </c>
      <c r="F376" s="54" t="s">
        <v>232</v>
      </c>
      <c r="G376" s="54" t="s">
        <v>2334</v>
      </c>
      <c r="H376" s="53" t="s">
        <v>2303</v>
      </c>
    </row>
    <row r="377" spans="1:8" s="53" customFormat="1" x14ac:dyDescent="0.25">
      <c r="A377" s="18" t="s">
        <v>334</v>
      </c>
      <c r="B377" s="30" t="s">
        <v>2335</v>
      </c>
      <c r="C377" s="53" t="s">
        <v>860</v>
      </c>
      <c r="D377" s="53" t="s">
        <v>54</v>
      </c>
      <c r="E377" s="60">
        <f>509/5280</f>
        <v>9.6401515151515155E-2</v>
      </c>
      <c r="F377" s="54" t="s">
        <v>914</v>
      </c>
      <c r="G377" s="54" t="s">
        <v>796</v>
      </c>
      <c r="H377" s="54" t="s">
        <v>2112</v>
      </c>
    </row>
    <row r="378" spans="1:8" s="25" customFormat="1" x14ac:dyDescent="0.25">
      <c r="A378" s="18" t="s">
        <v>334</v>
      </c>
      <c r="B378" s="30" t="s">
        <v>904</v>
      </c>
      <c r="C378" s="53" t="s">
        <v>860</v>
      </c>
      <c r="D378" s="53" t="s">
        <v>2336</v>
      </c>
      <c r="E378" s="68">
        <f>13736/5280</f>
        <v>2.6015151515151516</v>
      </c>
      <c r="F378" s="54" t="s">
        <v>905</v>
      </c>
      <c r="G378" s="54" t="s">
        <v>906</v>
      </c>
      <c r="H378" s="54" t="s">
        <v>2304</v>
      </c>
    </row>
    <row r="379" spans="1:8" s="25" customFormat="1" x14ac:dyDescent="0.25">
      <c r="A379" s="18" t="s">
        <v>334</v>
      </c>
      <c r="B379" s="30" t="s">
        <v>2337</v>
      </c>
      <c r="C379" s="53" t="s">
        <v>860</v>
      </c>
      <c r="D379" s="53" t="s">
        <v>2332</v>
      </c>
      <c r="E379" s="68">
        <f>526/5280</f>
        <v>9.9621212121212124E-2</v>
      </c>
      <c r="F379" s="54" t="s">
        <v>208</v>
      </c>
      <c r="G379" s="54"/>
      <c r="H379" s="54" t="s">
        <v>2112</v>
      </c>
    </row>
    <row r="380" spans="1:8" s="25" customFormat="1" x14ac:dyDescent="0.25">
      <c r="A380" s="18" t="s">
        <v>334</v>
      </c>
      <c r="B380" s="30" t="s">
        <v>2338</v>
      </c>
      <c r="C380" s="53" t="s">
        <v>860</v>
      </c>
      <c r="D380" s="53" t="s">
        <v>17</v>
      </c>
      <c r="E380" s="68">
        <f>(82+407)/5280</f>
        <v>9.261363636363637E-2</v>
      </c>
      <c r="F380" s="54" t="s">
        <v>13</v>
      </c>
      <c r="G380" s="54" t="s">
        <v>2339</v>
      </c>
      <c r="H380" s="54" t="s">
        <v>2112</v>
      </c>
    </row>
    <row r="381" spans="1:8" s="25" customFormat="1" x14ac:dyDescent="0.25">
      <c r="A381" s="18" t="s">
        <v>334</v>
      </c>
      <c r="B381" s="30" t="s">
        <v>2340</v>
      </c>
      <c r="C381" s="53" t="s">
        <v>860</v>
      </c>
      <c r="D381" s="53" t="s">
        <v>2332</v>
      </c>
      <c r="E381" s="68" t="s">
        <v>354</v>
      </c>
      <c r="F381" s="54" t="s">
        <v>2341</v>
      </c>
      <c r="G381" s="54" t="s">
        <v>2342</v>
      </c>
      <c r="H381" s="54" t="s">
        <v>2112</v>
      </c>
    </row>
    <row r="382" spans="1:8" s="25" customFormat="1" x14ac:dyDescent="0.25">
      <c r="A382" s="18" t="s">
        <v>334</v>
      </c>
      <c r="B382" s="30" t="s">
        <v>2343</v>
      </c>
      <c r="C382" s="53" t="s">
        <v>860</v>
      </c>
      <c r="D382" s="53" t="s">
        <v>2332</v>
      </c>
      <c r="E382" s="68">
        <f>1401/5280</f>
        <v>0.26534090909090907</v>
      </c>
      <c r="F382" s="54" t="s">
        <v>208</v>
      </c>
      <c r="G382" s="54"/>
      <c r="H382" s="54" t="s">
        <v>2112</v>
      </c>
    </row>
    <row r="383" spans="1:8" s="25" customFormat="1" x14ac:dyDescent="0.25">
      <c r="A383" s="18" t="s">
        <v>334</v>
      </c>
      <c r="B383" s="30" t="s">
        <v>2344</v>
      </c>
      <c r="C383" s="53" t="s">
        <v>860</v>
      </c>
      <c r="D383" s="53" t="s">
        <v>2332</v>
      </c>
      <c r="E383" s="68">
        <f>3125/5280</f>
        <v>0.59185606060606055</v>
      </c>
      <c r="F383" s="54" t="s">
        <v>208</v>
      </c>
      <c r="G383" s="54"/>
      <c r="H383" s="54" t="s">
        <v>2112</v>
      </c>
    </row>
    <row r="384" spans="1:8" s="25" customFormat="1" x14ac:dyDescent="0.25">
      <c r="A384" s="18" t="s">
        <v>334</v>
      </c>
      <c r="B384" s="30" t="s">
        <v>2345</v>
      </c>
      <c r="C384" s="53" t="s">
        <v>860</v>
      </c>
      <c r="D384" s="53" t="s">
        <v>2332</v>
      </c>
      <c r="E384" s="68">
        <f>(219+773)/5280</f>
        <v>0.18787878787878787</v>
      </c>
      <c r="F384" s="54" t="s">
        <v>208</v>
      </c>
      <c r="G384" s="54" t="s">
        <v>2317</v>
      </c>
      <c r="H384" s="54" t="s">
        <v>2112</v>
      </c>
    </row>
    <row r="385" spans="1:8" s="25" customFormat="1" x14ac:dyDescent="0.25">
      <c r="A385" s="18" t="s">
        <v>334</v>
      </c>
      <c r="B385" s="30" t="s">
        <v>2346</v>
      </c>
      <c r="C385" s="53" t="s">
        <v>860</v>
      </c>
      <c r="D385" s="53" t="s">
        <v>2332</v>
      </c>
      <c r="E385" s="68">
        <f>429/5280</f>
        <v>8.1250000000000003E-2</v>
      </c>
      <c r="F385" s="54" t="s">
        <v>208</v>
      </c>
      <c r="G385" s="54" t="s">
        <v>2347</v>
      </c>
      <c r="H385" s="54" t="s">
        <v>2112</v>
      </c>
    </row>
    <row r="386" spans="1:8" s="25" customFormat="1" x14ac:dyDescent="0.25">
      <c r="A386" s="18" t="s">
        <v>334</v>
      </c>
      <c r="B386" s="30" t="s">
        <v>2348</v>
      </c>
      <c r="C386" s="53" t="s">
        <v>860</v>
      </c>
      <c r="D386" s="53" t="s">
        <v>2349</v>
      </c>
      <c r="E386" s="68">
        <f>5073/5280</f>
        <v>0.96079545454545456</v>
      </c>
      <c r="F386" s="54" t="s">
        <v>208</v>
      </c>
      <c r="H386" s="54" t="s">
        <v>2112</v>
      </c>
    </row>
    <row r="387" spans="1:8" s="25" customFormat="1" x14ac:dyDescent="0.25">
      <c r="A387" s="18" t="s">
        <v>334</v>
      </c>
      <c r="B387" s="30" t="s">
        <v>2350</v>
      </c>
      <c r="C387" s="53" t="s">
        <v>860</v>
      </c>
      <c r="D387" s="53" t="s">
        <v>346</v>
      </c>
      <c r="E387" s="68">
        <f>2851/5280</f>
        <v>0.53996212121212117</v>
      </c>
      <c r="F387" s="54" t="s">
        <v>208</v>
      </c>
      <c r="H387" s="54" t="s">
        <v>2112</v>
      </c>
    </row>
    <row r="388" spans="1:8" s="25" customFormat="1" x14ac:dyDescent="0.25">
      <c r="A388" s="18" t="s">
        <v>334</v>
      </c>
      <c r="B388" s="30" t="s">
        <v>2351</v>
      </c>
      <c r="C388" s="53" t="s">
        <v>860</v>
      </c>
      <c r="D388" s="53" t="s">
        <v>2332</v>
      </c>
      <c r="E388" s="68">
        <f>239/5280</f>
        <v>4.5265151515151515E-2</v>
      </c>
      <c r="F388" s="54" t="s">
        <v>208</v>
      </c>
      <c r="H388" s="54" t="s">
        <v>2112</v>
      </c>
    </row>
    <row r="389" spans="1:8" s="25" customFormat="1" x14ac:dyDescent="0.25">
      <c r="A389" s="18" t="s">
        <v>334</v>
      </c>
      <c r="B389" s="30" t="s">
        <v>2352</v>
      </c>
      <c r="C389" s="53" t="s">
        <v>860</v>
      </c>
      <c r="D389" s="53" t="s">
        <v>2332</v>
      </c>
      <c r="E389" s="68">
        <f>501/5280</f>
        <v>9.488636363636363E-2</v>
      </c>
      <c r="F389" s="54" t="s">
        <v>208</v>
      </c>
      <c r="H389" s="54" t="s">
        <v>2112</v>
      </c>
    </row>
    <row r="390" spans="1:8" s="25" customFormat="1" x14ac:dyDescent="0.25">
      <c r="A390" s="18"/>
      <c r="B390" s="30"/>
      <c r="C390" s="53"/>
      <c r="D390" s="53"/>
      <c r="E390" s="68"/>
      <c r="F390" s="54"/>
      <c r="H390" s="54"/>
    </row>
    <row r="391" spans="1:8" s="25" customFormat="1" x14ac:dyDescent="0.25">
      <c r="D391" s="7" t="s">
        <v>11</v>
      </c>
      <c r="E391" s="38">
        <f>SUM(E2:E389)</f>
        <v>241.49567121212132</v>
      </c>
    </row>
    <row r="392" spans="1:8" s="25" customFormat="1" x14ac:dyDescent="0.25">
      <c r="E392" s="69">
        <f>E391/458.4</f>
        <v>0.52682301747844973</v>
      </c>
    </row>
    <row r="393" spans="1:8" s="25" customFormat="1" x14ac:dyDescent="0.25"/>
    <row r="394" spans="1:8" s="25" customFormat="1" x14ac:dyDescent="0.25">
      <c r="A394" s="66" t="s">
        <v>296</v>
      </c>
      <c r="B394" s="66" t="s">
        <v>2358</v>
      </c>
    </row>
    <row r="395" spans="1:8" s="25" customFormat="1" x14ac:dyDescent="0.25">
      <c r="B395" s="66" t="s">
        <v>2361</v>
      </c>
    </row>
    <row r="396" spans="1:8" s="25" customFormat="1" x14ac:dyDescent="0.25">
      <c r="B396" s="70" t="s">
        <v>2360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0"/>
  <sheetViews>
    <sheetView workbookViewId="0"/>
  </sheetViews>
  <sheetFormatPr defaultRowHeight="15" x14ac:dyDescent="0.25"/>
  <cols>
    <col min="1" max="1" width="12.42578125" customWidth="1"/>
    <col min="2" max="2" width="46.85546875" customWidth="1"/>
    <col min="3" max="3" width="14" customWidth="1"/>
    <col min="4" max="4" width="32" customWidth="1"/>
    <col min="5" max="5" width="15.7109375" customWidth="1"/>
    <col min="6" max="6" width="49" customWidth="1"/>
    <col min="7" max="7" width="36.140625" customWidth="1"/>
    <col min="8" max="8" width="30.85546875" customWidth="1"/>
  </cols>
  <sheetData>
    <row r="1" spans="1:8" s="1" customFormat="1" ht="60" x14ac:dyDescent="0.25">
      <c r="A1" s="1" t="s">
        <v>0</v>
      </c>
      <c r="B1" s="1" t="s">
        <v>1</v>
      </c>
      <c r="C1" s="1" t="s">
        <v>4</v>
      </c>
      <c r="D1" s="1" t="s">
        <v>2</v>
      </c>
      <c r="E1" s="17" t="s">
        <v>1579</v>
      </c>
      <c r="F1" s="1" t="s">
        <v>7</v>
      </c>
      <c r="G1" s="45" t="s">
        <v>10</v>
      </c>
      <c r="H1" s="1" t="s">
        <v>3</v>
      </c>
    </row>
    <row r="2" spans="1:8" s="53" customFormat="1" x14ac:dyDescent="0.25">
      <c r="A2" s="18" t="s">
        <v>956</v>
      </c>
      <c r="B2" s="53" t="s">
        <v>957</v>
      </c>
      <c r="C2" s="53" t="s">
        <v>958</v>
      </c>
      <c r="D2" s="53" t="s">
        <v>17</v>
      </c>
      <c r="E2" s="31">
        <f>(2283+1484+300)/5280</f>
        <v>0.77026515151515151</v>
      </c>
      <c r="F2" s="53" t="s">
        <v>13</v>
      </c>
      <c r="H2" s="53" t="s">
        <v>1738</v>
      </c>
    </row>
    <row r="3" spans="1:8" s="53" customFormat="1" x14ac:dyDescent="0.25">
      <c r="A3" s="18" t="s">
        <v>956</v>
      </c>
      <c r="B3" s="53" t="s">
        <v>959</v>
      </c>
      <c r="C3" s="53" t="s">
        <v>958</v>
      </c>
      <c r="D3" s="53" t="s">
        <v>960</v>
      </c>
      <c r="E3" s="31">
        <f>1106/5280</f>
        <v>0.20946969696969697</v>
      </c>
      <c r="F3" s="53" t="s">
        <v>316</v>
      </c>
      <c r="G3" s="53" t="s">
        <v>961</v>
      </c>
      <c r="H3" s="53" t="s">
        <v>1738</v>
      </c>
    </row>
    <row r="4" spans="1:8" s="53" customFormat="1" x14ac:dyDescent="0.25">
      <c r="A4" s="18" t="s">
        <v>956</v>
      </c>
      <c r="B4" s="54" t="s">
        <v>1740</v>
      </c>
      <c r="C4" s="53" t="s">
        <v>958</v>
      </c>
      <c r="D4" s="53" t="s">
        <v>960</v>
      </c>
      <c r="E4" s="31">
        <f>511/5280</f>
        <v>9.6780303030303036E-2</v>
      </c>
      <c r="F4" s="53" t="s">
        <v>9</v>
      </c>
      <c r="H4" s="53" t="s">
        <v>1738</v>
      </c>
    </row>
    <row r="5" spans="1:8" s="53" customFormat="1" x14ac:dyDescent="0.25">
      <c r="A5" s="18" t="s">
        <v>956</v>
      </c>
      <c r="B5" s="54" t="s">
        <v>1741</v>
      </c>
      <c r="C5" s="53" t="s">
        <v>958</v>
      </c>
      <c r="D5" s="53" t="s">
        <v>962</v>
      </c>
      <c r="E5" s="31">
        <f>1953/5280</f>
        <v>0.36988636363636362</v>
      </c>
      <c r="F5" s="53" t="s">
        <v>208</v>
      </c>
      <c r="G5" s="53" t="s">
        <v>963</v>
      </c>
      <c r="H5" s="53" t="s">
        <v>1738</v>
      </c>
    </row>
    <row r="6" spans="1:8" s="53" customFormat="1" x14ac:dyDescent="0.25">
      <c r="A6" s="18" t="s">
        <v>956</v>
      </c>
      <c r="B6" s="53" t="s">
        <v>964</v>
      </c>
      <c r="C6" s="53" t="s">
        <v>958</v>
      </c>
      <c r="D6" s="53" t="s">
        <v>17</v>
      </c>
      <c r="E6" s="31">
        <f>(1318+1358+213)/5280</f>
        <v>0.54715909090909087</v>
      </c>
      <c r="F6" s="53" t="s">
        <v>208</v>
      </c>
      <c r="G6" s="53" t="s">
        <v>965</v>
      </c>
      <c r="H6" s="53" t="s">
        <v>1738</v>
      </c>
    </row>
    <row r="7" spans="1:8" s="53" customFormat="1" x14ac:dyDescent="0.25">
      <c r="A7" s="18" t="s">
        <v>956</v>
      </c>
      <c r="B7" s="53" t="s">
        <v>966</v>
      </c>
      <c r="C7" s="53" t="s">
        <v>958</v>
      </c>
      <c r="D7" s="53" t="s">
        <v>967</v>
      </c>
      <c r="E7" s="31">
        <f>780/5280</f>
        <v>0.14772727272727273</v>
      </c>
      <c r="F7" s="53" t="s">
        <v>208</v>
      </c>
      <c r="H7" s="53" t="s">
        <v>1738</v>
      </c>
    </row>
    <row r="8" spans="1:8" s="53" customFormat="1" x14ac:dyDescent="0.25">
      <c r="A8" s="18" t="s">
        <v>956</v>
      </c>
      <c r="B8" s="53" t="s">
        <v>968</v>
      </c>
      <c r="C8" s="53" t="s">
        <v>958</v>
      </c>
      <c r="D8" s="53" t="s">
        <v>969</v>
      </c>
      <c r="E8" s="31">
        <f>(1547+188)/5280</f>
        <v>0.32859848484848486</v>
      </c>
      <c r="F8" s="53" t="s">
        <v>316</v>
      </c>
      <c r="G8" s="53" t="s">
        <v>970</v>
      </c>
      <c r="H8" s="53" t="s">
        <v>1738</v>
      </c>
    </row>
    <row r="9" spans="1:8" s="53" customFormat="1" x14ac:dyDescent="0.25">
      <c r="A9" s="18" t="s">
        <v>956</v>
      </c>
      <c r="B9" s="53" t="s">
        <v>971</v>
      </c>
      <c r="C9" s="53" t="s">
        <v>958</v>
      </c>
      <c r="D9" s="53" t="s">
        <v>5</v>
      </c>
      <c r="E9" s="60">
        <f>(721+1069)/5280</f>
        <v>0.33901515151515149</v>
      </c>
      <c r="F9" s="53" t="s">
        <v>8</v>
      </c>
      <c r="G9" s="53" t="s">
        <v>1742</v>
      </c>
      <c r="H9" s="53" t="s">
        <v>1762</v>
      </c>
    </row>
    <row r="10" spans="1:8" s="53" customFormat="1" x14ac:dyDescent="0.25">
      <c r="A10" s="18" t="s">
        <v>956</v>
      </c>
      <c r="B10" s="53" t="s">
        <v>972</v>
      </c>
      <c r="C10" s="53" t="s">
        <v>958</v>
      </c>
      <c r="D10" s="53" t="s">
        <v>973</v>
      </c>
      <c r="E10" s="31">
        <f>4644/5280</f>
        <v>0.87954545454545452</v>
      </c>
      <c r="F10" s="53" t="s">
        <v>316</v>
      </c>
      <c r="G10" s="53" t="s">
        <v>974</v>
      </c>
      <c r="H10" s="53" t="s">
        <v>1738</v>
      </c>
    </row>
    <row r="11" spans="1:8" s="53" customFormat="1" x14ac:dyDescent="0.25">
      <c r="A11" s="18" t="s">
        <v>956</v>
      </c>
      <c r="B11" s="53" t="s">
        <v>975</v>
      </c>
      <c r="C11" s="53" t="s">
        <v>958</v>
      </c>
      <c r="D11" s="53" t="s">
        <v>969</v>
      </c>
      <c r="E11" s="31">
        <f>(871+190)/5280</f>
        <v>0.20094696969696971</v>
      </c>
      <c r="F11" s="53" t="s">
        <v>316</v>
      </c>
      <c r="G11" s="53" t="s">
        <v>976</v>
      </c>
      <c r="H11" s="53" t="s">
        <v>1738</v>
      </c>
    </row>
    <row r="12" spans="1:8" s="53" customFormat="1" x14ac:dyDescent="0.25">
      <c r="A12" s="18" t="s">
        <v>956</v>
      </c>
      <c r="B12" s="53" t="s">
        <v>977</v>
      </c>
      <c r="C12" s="53" t="s">
        <v>958</v>
      </c>
      <c r="D12" s="53" t="s">
        <v>978</v>
      </c>
      <c r="E12" s="71">
        <f>3343/5280</f>
        <v>0.63314393939393943</v>
      </c>
      <c r="F12" s="53" t="s">
        <v>316</v>
      </c>
      <c r="G12" s="53" t="s">
        <v>979</v>
      </c>
      <c r="H12" s="53" t="s">
        <v>1738</v>
      </c>
    </row>
    <row r="13" spans="1:8" s="53" customFormat="1" x14ac:dyDescent="0.25">
      <c r="A13" s="18" t="s">
        <v>956</v>
      </c>
      <c r="B13" s="53" t="s">
        <v>980</v>
      </c>
      <c r="C13" s="53" t="s">
        <v>958</v>
      </c>
      <c r="D13" s="53" t="s">
        <v>981</v>
      </c>
      <c r="E13" s="71">
        <f>1216/5280</f>
        <v>0.23030303030303031</v>
      </c>
      <c r="F13" s="53" t="s">
        <v>232</v>
      </c>
      <c r="G13" s="53" t="s">
        <v>1737</v>
      </c>
      <c r="H13" s="53" t="s">
        <v>1738</v>
      </c>
    </row>
    <row r="14" spans="1:8" s="53" customFormat="1" x14ac:dyDescent="0.25">
      <c r="A14" s="18" t="s">
        <v>956</v>
      </c>
      <c r="B14" s="53" t="s">
        <v>982</v>
      </c>
      <c r="C14" s="53" t="s">
        <v>983</v>
      </c>
      <c r="D14" s="53" t="s">
        <v>984</v>
      </c>
      <c r="E14" s="71">
        <f>186/5280</f>
        <v>3.5227272727272725E-2</v>
      </c>
      <c r="F14" s="53" t="s">
        <v>985</v>
      </c>
      <c r="G14" s="53" t="s">
        <v>986</v>
      </c>
      <c r="H14" s="53" t="s">
        <v>1738</v>
      </c>
    </row>
    <row r="15" spans="1:8" s="25" customFormat="1" x14ac:dyDescent="0.25">
      <c r="A15" s="18" t="s">
        <v>956</v>
      </c>
      <c r="B15" s="53" t="s">
        <v>987</v>
      </c>
      <c r="C15" s="53" t="s">
        <v>983</v>
      </c>
      <c r="D15" s="53" t="s">
        <v>988</v>
      </c>
      <c r="E15" s="71">
        <f>510/5280</f>
        <v>9.6590909090909088E-2</v>
      </c>
      <c r="F15" s="53" t="s">
        <v>905</v>
      </c>
      <c r="G15" s="53" t="s">
        <v>989</v>
      </c>
      <c r="H15" s="53" t="s">
        <v>1738</v>
      </c>
    </row>
    <row r="16" spans="1:8" s="25" customFormat="1" x14ac:dyDescent="0.25">
      <c r="A16" s="18" t="s">
        <v>956</v>
      </c>
      <c r="B16" s="53" t="s">
        <v>990</v>
      </c>
      <c r="C16" s="53" t="s">
        <v>983</v>
      </c>
      <c r="D16" s="53" t="s">
        <v>991</v>
      </c>
      <c r="E16" s="71">
        <f>2594/5280</f>
        <v>0.49128787878787877</v>
      </c>
      <c r="F16" s="53" t="s">
        <v>232</v>
      </c>
      <c r="G16" s="53" t="s">
        <v>992</v>
      </c>
      <c r="H16" s="53" t="s">
        <v>1738</v>
      </c>
    </row>
    <row r="17" spans="1:8" s="25" customFormat="1" x14ac:dyDescent="0.25">
      <c r="A17" s="18" t="s">
        <v>956</v>
      </c>
      <c r="B17" s="53" t="s">
        <v>993</v>
      </c>
      <c r="C17" s="53" t="s">
        <v>983</v>
      </c>
      <c r="D17" s="53" t="s">
        <v>967</v>
      </c>
      <c r="E17" s="71">
        <f>4694/5280</f>
        <v>0.88901515151515154</v>
      </c>
      <c r="F17" s="53" t="s">
        <v>316</v>
      </c>
      <c r="G17" s="53" t="s">
        <v>994</v>
      </c>
      <c r="H17" s="53" t="s">
        <v>1738</v>
      </c>
    </row>
    <row r="18" spans="1:8" s="25" customFormat="1" x14ac:dyDescent="0.25">
      <c r="A18" s="18" t="s">
        <v>956</v>
      </c>
      <c r="B18" s="53" t="s">
        <v>1743</v>
      </c>
      <c r="C18" s="53" t="s">
        <v>983</v>
      </c>
      <c r="D18" s="53" t="s">
        <v>995</v>
      </c>
      <c r="E18" s="71">
        <f>1874/5280</f>
        <v>0.35492424242424242</v>
      </c>
      <c r="F18" s="53" t="s">
        <v>996</v>
      </c>
      <c r="G18" s="53" t="s">
        <v>1744</v>
      </c>
      <c r="H18" s="53" t="s">
        <v>1738</v>
      </c>
    </row>
    <row r="19" spans="1:8" s="25" customFormat="1" x14ac:dyDescent="0.25">
      <c r="A19" s="18" t="s">
        <v>956</v>
      </c>
      <c r="B19" s="53" t="s">
        <v>997</v>
      </c>
      <c r="C19" s="53" t="s">
        <v>983</v>
      </c>
      <c r="D19" s="53" t="s">
        <v>995</v>
      </c>
      <c r="E19" s="71">
        <f>944/5280</f>
        <v>0.1787878787878788</v>
      </c>
      <c r="F19" s="53" t="s">
        <v>998</v>
      </c>
      <c r="H19" s="53" t="s">
        <v>1738</v>
      </c>
    </row>
    <row r="20" spans="1:8" s="25" customFormat="1" x14ac:dyDescent="0.25">
      <c r="A20" s="18" t="s">
        <v>956</v>
      </c>
      <c r="B20" s="53" t="s">
        <v>999</v>
      </c>
      <c r="C20" s="53" t="s">
        <v>983</v>
      </c>
      <c r="D20" s="53" t="s">
        <v>967</v>
      </c>
      <c r="E20" s="71">
        <f>2351/5280</f>
        <v>0.4452651515151515</v>
      </c>
      <c r="F20" s="53" t="s">
        <v>316</v>
      </c>
      <c r="G20" s="53" t="s">
        <v>1000</v>
      </c>
      <c r="H20" s="53" t="s">
        <v>1738</v>
      </c>
    </row>
    <row r="21" spans="1:8" s="25" customFormat="1" x14ac:dyDescent="0.25">
      <c r="A21" s="18" t="s">
        <v>956</v>
      </c>
      <c r="B21" s="53" t="s">
        <v>1001</v>
      </c>
      <c r="C21" s="53" t="s">
        <v>983</v>
      </c>
      <c r="D21" s="53" t="s">
        <v>967</v>
      </c>
      <c r="E21" s="71">
        <f>151/5280</f>
        <v>2.8598484848484849E-2</v>
      </c>
      <c r="F21" s="53" t="s">
        <v>232</v>
      </c>
      <c r="G21" s="53" t="s">
        <v>1002</v>
      </c>
      <c r="H21" s="53" t="s">
        <v>1738</v>
      </c>
    </row>
    <row r="22" spans="1:8" s="25" customFormat="1" x14ac:dyDescent="0.25">
      <c r="A22" s="18" t="s">
        <v>956</v>
      </c>
      <c r="B22" s="53" t="s">
        <v>1003</v>
      </c>
      <c r="C22" s="53" t="s">
        <v>983</v>
      </c>
      <c r="D22" s="53" t="s">
        <v>967</v>
      </c>
      <c r="E22" s="71">
        <f>3895/5280</f>
        <v>0.73768939393939392</v>
      </c>
      <c r="F22" s="53" t="s">
        <v>316</v>
      </c>
      <c r="G22" s="53" t="s">
        <v>1004</v>
      </c>
      <c r="H22" s="53" t="s">
        <v>1738</v>
      </c>
    </row>
    <row r="23" spans="1:8" s="25" customFormat="1" x14ac:dyDescent="0.25">
      <c r="A23" s="18" t="s">
        <v>956</v>
      </c>
      <c r="B23" s="53" t="s">
        <v>1005</v>
      </c>
      <c r="C23" s="53" t="s">
        <v>983</v>
      </c>
      <c r="D23" s="53" t="s">
        <v>995</v>
      </c>
      <c r="E23" s="71">
        <f>(52+274)/5280</f>
        <v>6.1742424242424244E-2</v>
      </c>
      <c r="F23" s="53" t="s">
        <v>1006</v>
      </c>
      <c r="G23" s="53" t="s">
        <v>1739</v>
      </c>
      <c r="H23" s="53" t="s">
        <v>1738</v>
      </c>
    </row>
    <row r="24" spans="1:8" s="25" customFormat="1" x14ac:dyDescent="0.25">
      <c r="A24" s="18" t="s">
        <v>956</v>
      </c>
      <c r="B24" s="53" t="s">
        <v>1007</v>
      </c>
      <c r="C24" s="53" t="s">
        <v>983</v>
      </c>
      <c r="D24" s="53" t="s">
        <v>1008</v>
      </c>
      <c r="E24" s="71">
        <f>1381/5280</f>
        <v>0.26155303030303029</v>
      </c>
      <c r="F24" s="53" t="s">
        <v>208</v>
      </c>
      <c r="G24" s="53" t="s">
        <v>153</v>
      </c>
      <c r="H24" s="53" t="s">
        <v>1738</v>
      </c>
    </row>
    <row r="25" spans="1:8" s="25" customFormat="1" x14ac:dyDescent="0.25">
      <c r="A25" s="18" t="s">
        <v>956</v>
      </c>
      <c r="B25" s="53" t="s">
        <v>1009</v>
      </c>
      <c r="C25" s="53" t="s">
        <v>983</v>
      </c>
      <c r="D25" s="53" t="s">
        <v>5</v>
      </c>
      <c r="E25" s="71">
        <f>(5754+1227)/5280</f>
        <v>1.322159090909091</v>
      </c>
      <c r="F25" s="53" t="s">
        <v>8</v>
      </c>
      <c r="G25" s="53" t="s">
        <v>1010</v>
      </c>
      <c r="H25" s="53" t="s">
        <v>1764</v>
      </c>
    </row>
    <row r="26" spans="1:8" s="25" customFormat="1" x14ac:dyDescent="0.25">
      <c r="A26" s="18" t="s">
        <v>956</v>
      </c>
      <c r="B26" s="53" t="s">
        <v>1011</v>
      </c>
      <c r="C26" s="53" t="s">
        <v>983</v>
      </c>
      <c r="D26" s="53" t="s">
        <v>967</v>
      </c>
      <c r="E26" s="71">
        <f>486/5280</f>
        <v>9.2045454545454541E-2</v>
      </c>
      <c r="F26" s="53" t="s">
        <v>232</v>
      </c>
      <c r="H26" s="53" t="s">
        <v>1738</v>
      </c>
    </row>
    <row r="27" spans="1:8" s="25" customFormat="1" x14ac:dyDescent="0.25">
      <c r="A27" s="18" t="s">
        <v>956</v>
      </c>
      <c r="B27" s="53" t="s">
        <v>1012</v>
      </c>
      <c r="C27" s="53" t="s">
        <v>983</v>
      </c>
      <c r="D27" s="53" t="s">
        <v>1013</v>
      </c>
      <c r="E27" s="71">
        <f>(173+43+168)/5280</f>
        <v>7.2727272727272724E-2</v>
      </c>
      <c r="F27" s="53" t="s">
        <v>232</v>
      </c>
      <c r="G27" s="25" t="s">
        <v>1014</v>
      </c>
      <c r="H27" s="53" t="s">
        <v>1738</v>
      </c>
    </row>
    <row r="28" spans="1:8" s="25" customFormat="1" x14ac:dyDescent="0.25">
      <c r="A28" s="18" t="s">
        <v>956</v>
      </c>
      <c r="B28" s="53" t="s">
        <v>1015</v>
      </c>
      <c r="C28" s="53" t="s">
        <v>983</v>
      </c>
      <c r="D28" s="53" t="s">
        <v>1016</v>
      </c>
      <c r="E28" s="71">
        <f>76/5280</f>
        <v>1.4393939393939395E-2</v>
      </c>
      <c r="F28" s="53" t="s">
        <v>232</v>
      </c>
      <c r="G28" s="53" t="s">
        <v>1017</v>
      </c>
      <c r="H28" s="53" t="s">
        <v>1738</v>
      </c>
    </row>
    <row r="29" spans="1:8" s="25" customFormat="1" x14ac:dyDescent="0.25">
      <c r="A29" s="18" t="s">
        <v>956</v>
      </c>
      <c r="B29" s="53" t="s">
        <v>1018</v>
      </c>
      <c r="C29" s="53" t="s">
        <v>983</v>
      </c>
      <c r="D29" s="53" t="s">
        <v>1019</v>
      </c>
      <c r="E29" s="71">
        <f>365/5280</f>
        <v>6.9128787878787873E-2</v>
      </c>
      <c r="F29" s="53" t="s">
        <v>232</v>
      </c>
      <c r="G29" s="53" t="s">
        <v>153</v>
      </c>
      <c r="H29" s="53" t="s">
        <v>1738</v>
      </c>
    </row>
    <row r="30" spans="1:8" s="25" customFormat="1" x14ac:dyDescent="0.25">
      <c r="A30" s="18" t="s">
        <v>956</v>
      </c>
      <c r="B30" s="53" t="s">
        <v>1020</v>
      </c>
      <c r="C30" s="53" t="s">
        <v>983</v>
      </c>
      <c r="D30" s="53" t="s">
        <v>1021</v>
      </c>
      <c r="E30" s="71">
        <f>(63+56+430)/5280</f>
        <v>0.10397727272727272</v>
      </c>
      <c r="F30" s="53" t="s">
        <v>232</v>
      </c>
      <c r="G30" s="53" t="s">
        <v>1022</v>
      </c>
      <c r="H30" s="53" t="s">
        <v>1738</v>
      </c>
    </row>
    <row r="31" spans="1:8" s="25" customFormat="1" x14ac:dyDescent="0.25">
      <c r="A31" s="18" t="s">
        <v>956</v>
      </c>
      <c r="B31" s="53" t="s">
        <v>1023</v>
      </c>
      <c r="C31" s="53" t="s">
        <v>983</v>
      </c>
      <c r="D31" s="53" t="s">
        <v>967</v>
      </c>
      <c r="E31" s="71">
        <f>715/5280</f>
        <v>0.13541666666666666</v>
      </c>
      <c r="F31" s="53" t="s">
        <v>1024</v>
      </c>
      <c r="G31" s="53" t="s">
        <v>1025</v>
      </c>
      <c r="H31" s="53" t="s">
        <v>1738</v>
      </c>
    </row>
    <row r="32" spans="1:8" s="25" customFormat="1" x14ac:dyDescent="0.25">
      <c r="A32" s="18" t="s">
        <v>956</v>
      </c>
      <c r="B32" s="53" t="s">
        <v>1026</v>
      </c>
      <c r="C32" s="53" t="s">
        <v>983</v>
      </c>
      <c r="D32" s="53" t="s">
        <v>967</v>
      </c>
      <c r="E32" s="71">
        <f>733/5280</f>
        <v>0.13882575757575757</v>
      </c>
      <c r="F32" s="53" t="s">
        <v>1006</v>
      </c>
      <c r="G32" s="53" t="s">
        <v>1027</v>
      </c>
      <c r="H32" s="53" t="s">
        <v>1738</v>
      </c>
    </row>
    <row r="33" spans="1:8" s="25" customFormat="1" x14ac:dyDescent="0.25">
      <c r="A33" s="18" t="s">
        <v>956</v>
      </c>
      <c r="B33" s="53" t="s">
        <v>1028</v>
      </c>
      <c r="C33" s="53" t="s">
        <v>983</v>
      </c>
      <c r="D33" s="53" t="s">
        <v>967</v>
      </c>
      <c r="E33" s="71">
        <f>(1301-100-52-49)/5280</f>
        <v>0.20833333333333334</v>
      </c>
      <c r="F33" s="53" t="s">
        <v>236</v>
      </c>
      <c r="G33" s="53" t="s">
        <v>1029</v>
      </c>
      <c r="H33" s="53" t="s">
        <v>1738</v>
      </c>
    </row>
    <row r="34" spans="1:8" s="25" customFormat="1" x14ac:dyDescent="0.25">
      <c r="A34" s="18" t="s">
        <v>956</v>
      </c>
      <c r="B34" s="53" t="s">
        <v>1030</v>
      </c>
      <c r="C34" s="53" t="s">
        <v>983</v>
      </c>
      <c r="D34" s="25" t="s">
        <v>5</v>
      </c>
      <c r="E34" s="71">
        <f>1072/5280</f>
        <v>0.20303030303030303</v>
      </c>
      <c r="F34" s="53" t="s">
        <v>8</v>
      </c>
      <c r="G34" s="53" t="s">
        <v>2059</v>
      </c>
      <c r="H34" s="25" t="s">
        <v>1763</v>
      </c>
    </row>
    <row r="35" spans="1:8" s="25" customFormat="1" x14ac:dyDescent="0.25">
      <c r="A35" s="18" t="s">
        <v>956</v>
      </c>
      <c r="B35" s="53" t="s">
        <v>1031</v>
      </c>
      <c r="C35" s="53" t="s">
        <v>983</v>
      </c>
      <c r="D35" s="25" t="s">
        <v>967</v>
      </c>
      <c r="E35" s="71">
        <f>3701/5280</f>
        <v>0.70094696969696968</v>
      </c>
      <c r="F35" s="53" t="s">
        <v>9</v>
      </c>
      <c r="G35" s="53" t="s">
        <v>132</v>
      </c>
      <c r="H35" s="53" t="s">
        <v>1738</v>
      </c>
    </row>
    <row r="36" spans="1:8" s="25" customFormat="1" x14ac:dyDescent="0.25">
      <c r="A36" s="18" t="s">
        <v>956</v>
      </c>
      <c r="B36" s="53" t="s">
        <v>1032</v>
      </c>
      <c r="C36" s="53" t="s">
        <v>983</v>
      </c>
      <c r="D36" s="25" t="s">
        <v>967</v>
      </c>
      <c r="E36" s="71">
        <f>8442/5280</f>
        <v>1.5988636363636364</v>
      </c>
      <c r="F36" s="53" t="s">
        <v>1033</v>
      </c>
      <c r="G36" s="53" t="s">
        <v>132</v>
      </c>
      <c r="H36" s="53" t="s">
        <v>1738</v>
      </c>
    </row>
    <row r="37" spans="1:8" s="25" customFormat="1" x14ac:dyDescent="0.25">
      <c r="A37" s="18" t="s">
        <v>956</v>
      </c>
      <c r="B37" s="53" t="s">
        <v>1034</v>
      </c>
      <c r="C37" s="53" t="s">
        <v>983</v>
      </c>
      <c r="D37" s="25" t="s">
        <v>1035</v>
      </c>
      <c r="E37" s="71">
        <f>328/5280</f>
        <v>6.2121212121212119E-2</v>
      </c>
      <c r="F37" s="53" t="s">
        <v>1036</v>
      </c>
      <c r="H37" s="53" t="s">
        <v>1738</v>
      </c>
    </row>
    <row r="38" spans="1:8" s="25" customFormat="1" x14ac:dyDescent="0.25">
      <c r="A38" s="18" t="s">
        <v>956</v>
      </c>
      <c r="B38" s="53" t="s">
        <v>1037</v>
      </c>
      <c r="C38" s="53" t="s">
        <v>983</v>
      </c>
      <c r="D38" s="25" t="s">
        <v>17</v>
      </c>
      <c r="E38" s="71">
        <f>407/5280</f>
        <v>7.7083333333333337E-2</v>
      </c>
      <c r="F38" s="53" t="s">
        <v>208</v>
      </c>
      <c r="G38" s="53" t="s">
        <v>1038</v>
      </c>
      <c r="H38" s="53" t="s">
        <v>1738</v>
      </c>
    </row>
    <row r="39" spans="1:8" s="25" customFormat="1" x14ac:dyDescent="0.25">
      <c r="A39" s="18" t="s">
        <v>956</v>
      </c>
      <c r="B39" s="53" t="s">
        <v>1039</v>
      </c>
      <c r="C39" s="53" t="s">
        <v>983</v>
      </c>
      <c r="D39" s="25" t="s">
        <v>1040</v>
      </c>
      <c r="E39" s="71">
        <f>152/5280</f>
        <v>2.8787878787878789E-2</v>
      </c>
      <c r="F39" s="53" t="s">
        <v>232</v>
      </c>
      <c r="H39" s="53" t="s">
        <v>1738</v>
      </c>
    </row>
    <row r="40" spans="1:8" s="25" customFormat="1" x14ac:dyDescent="0.25">
      <c r="A40" s="18" t="s">
        <v>956</v>
      </c>
      <c r="B40" s="53" t="s">
        <v>1041</v>
      </c>
      <c r="C40" s="53" t="s">
        <v>983</v>
      </c>
      <c r="D40" s="25" t="s">
        <v>995</v>
      </c>
      <c r="E40" s="71">
        <f>(361+465)/5280</f>
        <v>0.15643939393939393</v>
      </c>
      <c r="F40" s="53" t="s">
        <v>1006</v>
      </c>
      <c r="G40" s="53" t="s">
        <v>1042</v>
      </c>
      <c r="H40" s="53" t="s">
        <v>1738</v>
      </c>
    </row>
    <row r="41" spans="1:8" s="25" customFormat="1" x14ac:dyDescent="0.25">
      <c r="A41" s="18" t="s">
        <v>956</v>
      </c>
      <c r="B41" s="53" t="s">
        <v>1043</v>
      </c>
      <c r="C41" s="53" t="s">
        <v>983</v>
      </c>
      <c r="D41" s="25" t="s">
        <v>1044</v>
      </c>
      <c r="E41" s="68">
        <f>(2990+519)/5280</f>
        <v>0.6645833333333333</v>
      </c>
      <c r="F41" s="53" t="s">
        <v>13</v>
      </c>
      <c r="G41" s="53" t="s">
        <v>1045</v>
      </c>
      <c r="H41" s="53" t="s">
        <v>1738</v>
      </c>
    </row>
    <row r="42" spans="1:8" s="25" customFormat="1" x14ac:dyDescent="0.25">
      <c r="A42" s="18" t="s">
        <v>956</v>
      </c>
      <c r="B42" s="53" t="s">
        <v>1046</v>
      </c>
      <c r="C42" s="53" t="s">
        <v>983</v>
      </c>
      <c r="D42" s="25" t="s">
        <v>1047</v>
      </c>
      <c r="E42" s="68">
        <f>685/5280</f>
        <v>0.12973484848484848</v>
      </c>
      <c r="F42" s="53" t="s">
        <v>13</v>
      </c>
      <c r="G42" s="53" t="s">
        <v>1048</v>
      </c>
      <c r="H42" s="53" t="s">
        <v>1738</v>
      </c>
    </row>
    <row r="43" spans="1:8" s="25" customFormat="1" x14ac:dyDescent="0.25">
      <c r="A43" s="18" t="s">
        <v>956</v>
      </c>
      <c r="B43" s="53" t="s">
        <v>1049</v>
      </c>
      <c r="C43" s="53" t="s">
        <v>983</v>
      </c>
      <c r="D43" s="25" t="s">
        <v>995</v>
      </c>
      <c r="E43" s="68">
        <f>40/5280</f>
        <v>7.575757575757576E-3</v>
      </c>
      <c r="F43" s="53" t="s">
        <v>1006</v>
      </c>
      <c r="G43" s="53" t="s">
        <v>1050</v>
      </c>
      <c r="H43" s="53" t="s">
        <v>1738</v>
      </c>
    </row>
    <row r="44" spans="1:8" s="25" customFormat="1" x14ac:dyDescent="0.25">
      <c r="A44" s="18" t="s">
        <v>956</v>
      </c>
      <c r="B44" s="53" t="s">
        <v>1745</v>
      </c>
      <c r="C44" s="53" t="s">
        <v>983</v>
      </c>
      <c r="D44" s="25" t="s">
        <v>1052</v>
      </c>
      <c r="E44" s="68">
        <f>564/5280</f>
        <v>0.10681818181818181</v>
      </c>
      <c r="F44" s="53" t="s">
        <v>232</v>
      </c>
      <c r="G44" s="53" t="s">
        <v>1053</v>
      </c>
      <c r="H44" s="53" t="s">
        <v>1738</v>
      </c>
    </row>
    <row r="45" spans="1:8" s="25" customFormat="1" x14ac:dyDescent="0.25">
      <c r="A45" s="18" t="s">
        <v>956</v>
      </c>
      <c r="B45" s="53" t="s">
        <v>1770</v>
      </c>
      <c r="C45" s="53" t="s">
        <v>983</v>
      </c>
      <c r="D45" s="25" t="s">
        <v>1054</v>
      </c>
      <c r="E45" s="68">
        <f>303/5280</f>
        <v>5.7386363636363638E-2</v>
      </c>
      <c r="F45" s="53" t="s">
        <v>1767</v>
      </c>
      <c r="G45" s="53" t="s">
        <v>1769</v>
      </c>
      <c r="H45" s="53" t="s">
        <v>1768</v>
      </c>
    </row>
    <row r="46" spans="1:8" s="25" customFormat="1" x14ac:dyDescent="0.25">
      <c r="A46" s="18" t="s">
        <v>956</v>
      </c>
      <c r="B46" s="53" t="s">
        <v>1055</v>
      </c>
      <c r="C46" s="53" t="s">
        <v>983</v>
      </c>
      <c r="D46" s="25" t="s">
        <v>967</v>
      </c>
      <c r="E46" s="68">
        <f>3222/5280</f>
        <v>0.61022727272727273</v>
      </c>
      <c r="F46" s="53" t="s">
        <v>232</v>
      </c>
      <c r="G46" s="53" t="s">
        <v>1056</v>
      </c>
      <c r="H46" s="53" t="s">
        <v>1738</v>
      </c>
    </row>
    <row r="47" spans="1:8" s="25" customFormat="1" x14ac:dyDescent="0.25">
      <c r="A47" s="18" t="s">
        <v>956</v>
      </c>
      <c r="B47" s="54" t="s">
        <v>1750</v>
      </c>
      <c r="C47" s="53" t="s">
        <v>983</v>
      </c>
      <c r="D47" s="40" t="s">
        <v>1057</v>
      </c>
      <c r="E47" s="68">
        <f>(280+255+250)/5280</f>
        <v>0.14867424242424243</v>
      </c>
      <c r="F47" s="53" t="s">
        <v>232</v>
      </c>
      <c r="G47" s="53" t="s">
        <v>1058</v>
      </c>
      <c r="H47" s="53" t="s">
        <v>1738</v>
      </c>
    </row>
    <row r="48" spans="1:8" s="25" customFormat="1" x14ac:dyDescent="0.25">
      <c r="A48" s="18" t="s">
        <v>956</v>
      </c>
      <c r="B48" s="53" t="s">
        <v>1059</v>
      </c>
      <c r="C48" s="53" t="s">
        <v>983</v>
      </c>
      <c r="D48" s="25" t="s">
        <v>1746</v>
      </c>
      <c r="E48" s="68">
        <f>(242+136)/5280</f>
        <v>7.1590909090909094E-2</v>
      </c>
      <c r="F48" s="53" t="s">
        <v>232</v>
      </c>
      <c r="G48" s="53" t="s">
        <v>1747</v>
      </c>
      <c r="H48" s="53" t="s">
        <v>1738</v>
      </c>
    </row>
    <row r="49" spans="1:8" s="25" customFormat="1" x14ac:dyDescent="0.25">
      <c r="A49" s="18" t="s">
        <v>956</v>
      </c>
      <c r="B49" s="53" t="s">
        <v>1748</v>
      </c>
      <c r="C49" s="53" t="s">
        <v>983</v>
      </c>
      <c r="D49" s="25" t="s">
        <v>1062</v>
      </c>
      <c r="E49" s="68">
        <f>(6794-100-84-102-62-218)/5280</f>
        <v>1.1795454545454545</v>
      </c>
      <c r="F49" s="53" t="s">
        <v>13</v>
      </c>
      <c r="G49" s="53" t="s">
        <v>1063</v>
      </c>
      <c r="H49" s="53" t="s">
        <v>1738</v>
      </c>
    </row>
    <row r="50" spans="1:8" s="25" customFormat="1" x14ac:dyDescent="0.25">
      <c r="A50" s="18" t="s">
        <v>956</v>
      </c>
      <c r="B50" s="53" t="s">
        <v>1061</v>
      </c>
      <c r="C50" s="53" t="s">
        <v>983</v>
      </c>
      <c r="D50" s="25" t="s">
        <v>1060</v>
      </c>
      <c r="E50" s="68">
        <f>1974/5280</f>
        <v>0.37386363636363634</v>
      </c>
      <c r="F50" s="53" t="s">
        <v>13</v>
      </c>
      <c r="G50" s="53" t="s">
        <v>1749</v>
      </c>
      <c r="H50" s="53" t="s">
        <v>1738</v>
      </c>
    </row>
    <row r="51" spans="1:8" s="25" customFormat="1" x14ac:dyDescent="0.25">
      <c r="A51" s="18" t="s">
        <v>956</v>
      </c>
      <c r="B51" s="53" t="s">
        <v>1064</v>
      </c>
      <c r="C51" s="53" t="s">
        <v>983</v>
      </c>
      <c r="D51" s="25" t="s">
        <v>1065</v>
      </c>
      <c r="E51" s="68">
        <f>6286/5280</f>
        <v>1.1905303030303029</v>
      </c>
      <c r="F51" s="53" t="s">
        <v>13</v>
      </c>
      <c r="G51" s="53" t="s">
        <v>2058</v>
      </c>
      <c r="H51" s="53" t="s">
        <v>1738</v>
      </c>
    </row>
    <row r="52" spans="1:8" s="25" customFormat="1" x14ac:dyDescent="0.25">
      <c r="A52" s="18" t="s">
        <v>956</v>
      </c>
      <c r="B52" s="53" t="s">
        <v>1066</v>
      </c>
      <c r="C52" s="53" t="s">
        <v>983</v>
      </c>
      <c r="D52" s="25" t="s">
        <v>1067</v>
      </c>
      <c r="E52" s="68">
        <f>1190/5280</f>
        <v>0.22537878787878787</v>
      </c>
      <c r="F52" s="40" t="s">
        <v>13</v>
      </c>
      <c r="H52" s="53" t="s">
        <v>1738</v>
      </c>
    </row>
    <row r="53" spans="1:8" s="25" customFormat="1" x14ac:dyDescent="0.25">
      <c r="A53" s="18" t="s">
        <v>956</v>
      </c>
      <c r="B53" s="53" t="s">
        <v>1068</v>
      </c>
      <c r="C53" s="53" t="s">
        <v>983</v>
      </c>
      <c r="D53" s="40" t="s">
        <v>1069</v>
      </c>
      <c r="E53" s="68">
        <f>595/5280</f>
        <v>0.11268939393939394</v>
      </c>
      <c r="F53" s="40" t="s">
        <v>13</v>
      </c>
      <c r="G53" s="25" t="s">
        <v>1070</v>
      </c>
      <c r="H53" s="53" t="s">
        <v>1738</v>
      </c>
    </row>
    <row r="54" spans="1:8" s="25" customFormat="1" x14ac:dyDescent="0.25">
      <c r="A54" s="18" t="s">
        <v>956</v>
      </c>
      <c r="B54" s="53" t="s">
        <v>1071</v>
      </c>
      <c r="C54" s="53" t="s">
        <v>983</v>
      </c>
      <c r="D54" s="40" t="s">
        <v>1067</v>
      </c>
      <c r="E54" s="68">
        <f>170/5280</f>
        <v>3.2196969696969696E-2</v>
      </c>
      <c r="F54" s="40" t="s">
        <v>13</v>
      </c>
      <c r="H54" s="53" t="s">
        <v>1738</v>
      </c>
    </row>
    <row r="55" spans="1:8" s="25" customFormat="1" x14ac:dyDescent="0.25">
      <c r="A55" s="18" t="s">
        <v>956</v>
      </c>
      <c r="B55" s="53" t="s">
        <v>1072</v>
      </c>
      <c r="C55" s="53" t="s">
        <v>983</v>
      </c>
      <c r="D55" s="40" t="s">
        <v>17</v>
      </c>
      <c r="E55" s="68">
        <f>(144+214)/5280</f>
        <v>6.7803030303030309E-2</v>
      </c>
      <c r="F55" s="40" t="s">
        <v>208</v>
      </c>
      <c r="G55" s="40" t="s">
        <v>1758</v>
      </c>
      <c r="H55" s="53" t="s">
        <v>1738</v>
      </c>
    </row>
    <row r="56" spans="1:8" s="25" customFormat="1" x14ac:dyDescent="0.25">
      <c r="A56" s="18" t="s">
        <v>956</v>
      </c>
      <c r="B56" s="53" t="s">
        <v>1073</v>
      </c>
      <c r="C56" s="53" t="s">
        <v>983</v>
      </c>
      <c r="D56" s="40" t="s">
        <v>1074</v>
      </c>
      <c r="E56" s="83">
        <v>0</v>
      </c>
      <c r="F56" s="40" t="s">
        <v>1075</v>
      </c>
      <c r="G56" s="40" t="s">
        <v>1757</v>
      </c>
      <c r="H56" s="53" t="s">
        <v>1738</v>
      </c>
    </row>
    <row r="57" spans="1:8" s="25" customFormat="1" x14ac:dyDescent="0.25">
      <c r="A57" s="18" t="s">
        <v>956</v>
      </c>
      <c r="B57" s="23" t="s">
        <v>1076</v>
      </c>
      <c r="C57" s="53" t="s">
        <v>983</v>
      </c>
      <c r="D57" s="40" t="s">
        <v>967</v>
      </c>
      <c r="E57" s="68">
        <f>990/5280</f>
        <v>0.1875</v>
      </c>
      <c r="F57" s="40" t="s">
        <v>9</v>
      </c>
      <c r="G57" s="40" t="s">
        <v>1751</v>
      </c>
      <c r="H57" s="53" t="s">
        <v>1738</v>
      </c>
    </row>
    <row r="58" spans="1:8" s="25" customFormat="1" x14ac:dyDescent="0.25">
      <c r="A58" s="18" t="s">
        <v>956</v>
      </c>
      <c r="B58" s="53" t="s">
        <v>1077</v>
      </c>
      <c r="C58" s="53" t="s">
        <v>983</v>
      </c>
      <c r="D58" s="40" t="s">
        <v>1078</v>
      </c>
      <c r="E58" s="68">
        <f>(1068-168)/5280</f>
        <v>0.17045454545454544</v>
      </c>
      <c r="F58" s="40" t="s">
        <v>13</v>
      </c>
      <c r="G58" s="25" t="s">
        <v>1752</v>
      </c>
      <c r="H58" s="53" t="s">
        <v>1738</v>
      </c>
    </row>
    <row r="59" spans="1:8" s="25" customFormat="1" x14ac:dyDescent="0.25">
      <c r="A59" s="18" t="s">
        <v>956</v>
      </c>
      <c r="B59" s="53" t="s">
        <v>1753</v>
      </c>
      <c r="C59" s="53" t="s">
        <v>983</v>
      </c>
      <c r="D59" s="40" t="s">
        <v>1080</v>
      </c>
      <c r="E59" s="83">
        <v>0</v>
      </c>
      <c r="F59" s="40" t="s">
        <v>905</v>
      </c>
      <c r="G59" s="40" t="s">
        <v>1757</v>
      </c>
      <c r="H59" s="54" t="s">
        <v>1738</v>
      </c>
    </row>
    <row r="60" spans="1:8" s="25" customFormat="1" x14ac:dyDescent="0.25">
      <c r="A60" s="18" t="s">
        <v>956</v>
      </c>
      <c r="B60" s="53" t="s">
        <v>1079</v>
      </c>
      <c r="C60" s="53" t="s">
        <v>983</v>
      </c>
      <c r="D60" s="40" t="s">
        <v>1080</v>
      </c>
      <c r="E60" s="68">
        <f>609/5280</f>
        <v>0.11534090909090909</v>
      </c>
      <c r="F60" s="40" t="s">
        <v>905</v>
      </c>
      <c r="G60" s="40" t="s">
        <v>1081</v>
      </c>
      <c r="H60" s="53" t="s">
        <v>1738</v>
      </c>
    </row>
    <row r="61" spans="1:8" s="25" customFormat="1" x14ac:dyDescent="0.25">
      <c r="A61" s="18" t="s">
        <v>956</v>
      </c>
      <c r="B61" s="53" t="s">
        <v>1082</v>
      </c>
      <c r="C61" s="53" t="s">
        <v>983</v>
      </c>
      <c r="D61" s="40" t="s">
        <v>1083</v>
      </c>
      <c r="E61" s="68">
        <f>(3746-1315)/5280</f>
        <v>0.46041666666666664</v>
      </c>
      <c r="F61" s="40" t="s">
        <v>1084</v>
      </c>
      <c r="G61" s="40" t="s">
        <v>1754</v>
      </c>
      <c r="H61" s="53" t="s">
        <v>1738</v>
      </c>
    </row>
    <row r="62" spans="1:8" s="25" customFormat="1" x14ac:dyDescent="0.25">
      <c r="A62" s="18" t="s">
        <v>956</v>
      </c>
      <c r="B62" s="53" t="s">
        <v>1085</v>
      </c>
      <c r="C62" s="53" t="s">
        <v>983</v>
      </c>
      <c r="D62" s="40" t="s">
        <v>1086</v>
      </c>
      <c r="E62" s="68">
        <f>490/5280</f>
        <v>9.2803030303030304E-2</v>
      </c>
      <c r="F62" s="40" t="s">
        <v>13</v>
      </c>
      <c r="G62" s="40" t="s">
        <v>1755</v>
      </c>
      <c r="H62" s="53" t="s">
        <v>1738</v>
      </c>
    </row>
    <row r="63" spans="1:8" s="25" customFormat="1" x14ac:dyDescent="0.25">
      <c r="A63" s="18" t="s">
        <v>956</v>
      </c>
      <c r="B63" s="53" t="s">
        <v>1087</v>
      </c>
      <c r="C63" s="53" t="s">
        <v>983</v>
      </c>
      <c r="D63" s="40" t="s">
        <v>1080</v>
      </c>
      <c r="E63" s="83">
        <v>0</v>
      </c>
      <c r="F63" s="40" t="s">
        <v>905</v>
      </c>
      <c r="G63" s="40" t="s">
        <v>1756</v>
      </c>
      <c r="H63" s="53" t="s">
        <v>1738</v>
      </c>
    </row>
    <row r="64" spans="1:8" s="25" customFormat="1" x14ac:dyDescent="0.25">
      <c r="A64" s="18" t="s">
        <v>956</v>
      </c>
      <c r="B64" s="53" t="s">
        <v>1088</v>
      </c>
      <c r="C64" s="53" t="s">
        <v>983</v>
      </c>
      <c r="D64" s="40" t="s">
        <v>17</v>
      </c>
      <c r="E64" s="68">
        <f>113/5280</f>
        <v>2.1401515151515151E-2</v>
      </c>
      <c r="F64" s="40" t="s">
        <v>208</v>
      </c>
      <c r="G64" s="40"/>
      <c r="H64" s="53" t="s">
        <v>1738</v>
      </c>
    </row>
    <row r="65" spans="1:8" s="25" customFormat="1" x14ac:dyDescent="0.25">
      <c r="A65" s="18" t="s">
        <v>956</v>
      </c>
      <c r="B65" s="53" t="s">
        <v>1089</v>
      </c>
      <c r="C65" s="53" t="s">
        <v>983</v>
      </c>
      <c r="D65" s="40" t="s">
        <v>1090</v>
      </c>
      <c r="E65" s="68">
        <f>210/580</f>
        <v>0.36206896551724138</v>
      </c>
      <c r="F65" s="40" t="s">
        <v>208</v>
      </c>
      <c r="G65" s="40"/>
      <c r="H65" s="53" t="s">
        <v>1738</v>
      </c>
    </row>
    <row r="66" spans="1:8" s="25" customFormat="1" x14ac:dyDescent="0.25">
      <c r="A66" s="18" t="s">
        <v>956</v>
      </c>
      <c r="B66" s="53" t="s">
        <v>1091</v>
      </c>
      <c r="C66" s="53" t="s">
        <v>983</v>
      </c>
      <c r="D66" s="40" t="s">
        <v>17</v>
      </c>
      <c r="E66" s="68">
        <f>1384/5280</f>
        <v>0.26212121212121214</v>
      </c>
      <c r="F66" s="40" t="s">
        <v>208</v>
      </c>
      <c r="G66" s="40"/>
      <c r="H66" s="53" t="s">
        <v>1738</v>
      </c>
    </row>
    <row r="67" spans="1:8" s="25" customFormat="1" x14ac:dyDescent="0.25">
      <c r="A67" s="18" t="s">
        <v>956</v>
      </c>
      <c r="B67" s="53" t="s">
        <v>1092</v>
      </c>
      <c r="C67" s="53" t="s">
        <v>983</v>
      </c>
      <c r="D67" s="40" t="s">
        <v>1090</v>
      </c>
      <c r="E67" s="68">
        <f>125/5280</f>
        <v>2.3674242424242424E-2</v>
      </c>
      <c r="F67" s="40" t="s">
        <v>13</v>
      </c>
      <c r="H67" s="53" t="s">
        <v>1738</v>
      </c>
    </row>
    <row r="68" spans="1:8" s="25" customFormat="1" x14ac:dyDescent="0.25">
      <c r="A68" s="18" t="s">
        <v>956</v>
      </c>
      <c r="B68" s="53" t="s">
        <v>1092</v>
      </c>
      <c r="C68" s="53" t="s">
        <v>983</v>
      </c>
      <c r="D68" s="40" t="s">
        <v>1086</v>
      </c>
      <c r="E68" s="68">
        <f>1223/5280</f>
        <v>0.23162878787878788</v>
      </c>
      <c r="F68" s="40" t="s">
        <v>13</v>
      </c>
      <c r="G68" s="40" t="s">
        <v>1093</v>
      </c>
      <c r="H68" s="53" t="s">
        <v>1738</v>
      </c>
    </row>
    <row r="69" spans="1:8" s="25" customFormat="1" x14ac:dyDescent="0.25">
      <c r="A69" s="18" t="s">
        <v>956</v>
      </c>
      <c r="B69" s="53" t="s">
        <v>1092</v>
      </c>
      <c r="C69" s="53" t="s">
        <v>983</v>
      </c>
      <c r="D69" s="40" t="s">
        <v>1069</v>
      </c>
      <c r="E69" s="68">
        <f>400/5280</f>
        <v>7.575757575757576E-2</v>
      </c>
      <c r="F69" s="40" t="s">
        <v>232</v>
      </c>
      <c r="G69" s="40" t="s">
        <v>1094</v>
      </c>
      <c r="H69" s="53" t="s">
        <v>1738</v>
      </c>
    </row>
    <row r="70" spans="1:8" s="25" customFormat="1" x14ac:dyDescent="0.25">
      <c r="A70" s="18" t="s">
        <v>956</v>
      </c>
      <c r="B70" s="53" t="s">
        <v>1095</v>
      </c>
      <c r="C70" s="53" t="s">
        <v>983</v>
      </c>
      <c r="D70" s="40" t="s">
        <v>5</v>
      </c>
      <c r="E70" s="68">
        <f>(947-923+1285+3610+178)/5280</f>
        <v>0.96534090909090908</v>
      </c>
      <c r="F70" s="40" t="s">
        <v>8</v>
      </c>
      <c r="G70" s="40" t="s">
        <v>1759</v>
      </c>
      <c r="H70" s="40" t="s">
        <v>1765</v>
      </c>
    </row>
    <row r="71" spans="1:8" s="25" customFormat="1" x14ac:dyDescent="0.25">
      <c r="A71" s="18" t="s">
        <v>956</v>
      </c>
      <c r="B71" s="53" t="s">
        <v>1096</v>
      </c>
      <c r="C71" s="53" t="s">
        <v>983</v>
      </c>
      <c r="D71" s="40" t="s">
        <v>17</v>
      </c>
      <c r="E71" s="68">
        <f>483/5280</f>
        <v>9.1477272727272727E-2</v>
      </c>
      <c r="F71" s="40" t="s">
        <v>13</v>
      </c>
      <c r="H71" s="53" t="s">
        <v>1738</v>
      </c>
    </row>
    <row r="72" spans="1:8" s="25" customFormat="1" x14ac:dyDescent="0.25">
      <c r="A72" s="18" t="s">
        <v>956</v>
      </c>
      <c r="B72" s="53" t="s">
        <v>381</v>
      </c>
      <c r="C72" s="53" t="s">
        <v>983</v>
      </c>
      <c r="D72" s="40" t="s">
        <v>1069</v>
      </c>
      <c r="E72" s="68">
        <f>3750/5280</f>
        <v>0.71022727272727271</v>
      </c>
      <c r="F72" s="40" t="s">
        <v>232</v>
      </c>
      <c r="G72" s="40" t="s">
        <v>132</v>
      </c>
      <c r="H72" s="53" t="s">
        <v>1738</v>
      </c>
    </row>
    <row r="73" spans="1:8" s="25" customFormat="1" x14ac:dyDescent="0.25">
      <c r="A73" s="18" t="s">
        <v>956</v>
      </c>
      <c r="B73" s="53" t="s">
        <v>1097</v>
      </c>
      <c r="C73" s="53" t="s">
        <v>983</v>
      </c>
      <c r="D73" s="40" t="s">
        <v>1069</v>
      </c>
      <c r="E73" s="68">
        <f>(2820+573+2492)/5280</f>
        <v>1.1145833333333333</v>
      </c>
      <c r="F73" s="40" t="s">
        <v>13</v>
      </c>
      <c r="G73" s="40" t="s">
        <v>1760</v>
      </c>
      <c r="H73" s="53" t="s">
        <v>1738</v>
      </c>
    </row>
    <row r="74" spans="1:8" s="25" customFormat="1" x14ac:dyDescent="0.25">
      <c r="A74" s="18" t="s">
        <v>956</v>
      </c>
      <c r="B74" s="53" t="s">
        <v>1098</v>
      </c>
      <c r="C74" s="53" t="s">
        <v>983</v>
      </c>
      <c r="D74" s="40" t="s">
        <v>1099</v>
      </c>
      <c r="E74" s="68">
        <f>1456/5280</f>
        <v>0.27575757575757576</v>
      </c>
      <c r="F74" s="40" t="s">
        <v>905</v>
      </c>
      <c r="G74" s="40" t="s">
        <v>1100</v>
      </c>
      <c r="H74" s="53" t="s">
        <v>1738</v>
      </c>
    </row>
    <row r="75" spans="1:8" s="25" customFormat="1" x14ac:dyDescent="0.25">
      <c r="A75" s="18" t="s">
        <v>956</v>
      </c>
      <c r="B75" s="53" t="s">
        <v>1101</v>
      </c>
      <c r="C75" s="53" t="s">
        <v>983</v>
      </c>
      <c r="D75" s="40" t="s">
        <v>1069</v>
      </c>
      <c r="E75" s="68">
        <f>290/5280</f>
        <v>5.4924242424242424E-2</v>
      </c>
      <c r="F75" s="40" t="s">
        <v>1075</v>
      </c>
      <c r="G75" s="40" t="s">
        <v>132</v>
      </c>
      <c r="H75" s="53" t="s">
        <v>1738</v>
      </c>
    </row>
    <row r="76" spans="1:8" s="25" customFormat="1" x14ac:dyDescent="0.25">
      <c r="A76" s="18" t="s">
        <v>956</v>
      </c>
      <c r="B76" s="53" t="s">
        <v>1102</v>
      </c>
      <c r="C76" s="53" t="s">
        <v>983</v>
      </c>
      <c r="D76" s="40" t="s">
        <v>17</v>
      </c>
      <c r="E76" s="68">
        <f>437/5280</f>
        <v>8.2765151515151514E-2</v>
      </c>
      <c r="F76" s="40" t="s">
        <v>13</v>
      </c>
      <c r="H76" s="53" t="s">
        <v>1738</v>
      </c>
    </row>
    <row r="77" spans="1:8" s="25" customFormat="1" x14ac:dyDescent="0.25">
      <c r="A77" s="18" t="s">
        <v>956</v>
      </c>
      <c r="B77" s="53" t="s">
        <v>1103</v>
      </c>
      <c r="C77" s="53" t="s">
        <v>983</v>
      </c>
      <c r="D77" s="40" t="s">
        <v>967</v>
      </c>
      <c r="E77" s="68">
        <f>993/5280</f>
        <v>0.18806818181818183</v>
      </c>
      <c r="F77" s="40" t="s">
        <v>1104</v>
      </c>
      <c r="G77" s="40" t="s">
        <v>1105</v>
      </c>
      <c r="H77" s="53" t="s">
        <v>1738</v>
      </c>
    </row>
    <row r="78" spans="1:8" s="25" customFormat="1" x14ac:dyDescent="0.25">
      <c r="A78" s="18" t="s">
        <v>956</v>
      </c>
      <c r="B78" s="53" t="s">
        <v>1106</v>
      </c>
      <c r="C78" s="53" t="s">
        <v>983</v>
      </c>
      <c r="D78" s="40" t="s">
        <v>967</v>
      </c>
      <c r="E78" s="68">
        <f>6425/5280</f>
        <v>1.2168560606060606</v>
      </c>
      <c r="F78" s="40" t="s">
        <v>208</v>
      </c>
      <c r="H78" s="53" t="s">
        <v>1738</v>
      </c>
    </row>
    <row r="79" spans="1:8" s="25" customFormat="1" x14ac:dyDescent="0.25">
      <c r="A79" s="18" t="s">
        <v>956</v>
      </c>
      <c r="B79" s="53" t="s">
        <v>1107</v>
      </c>
      <c r="C79" s="53" t="s">
        <v>983</v>
      </c>
      <c r="D79" s="40" t="s">
        <v>1069</v>
      </c>
      <c r="E79" s="68">
        <f>600/5280</f>
        <v>0.11363636363636363</v>
      </c>
      <c r="F79" s="40" t="s">
        <v>232</v>
      </c>
      <c r="H79" s="53" t="s">
        <v>1738</v>
      </c>
    </row>
    <row r="80" spans="1:8" s="25" customFormat="1" x14ac:dyDescent="0.25">
      <c r="A80" s="18" t="s">
        <v>956</v>
      </c>
      <c r="B80" s="53" t="s">
        <v>1766</v>
      </c>
      <c r="C80" s="53" t="s">
        <v>983</v>
      </c>
      <c r="D80" s="40" t="s">
        <v>1069</v>
      </c>
      <c r="E80" s="68">
        <f>(6298-758-191)/5280</f>
        <v>1.0130681818181819</v>
      </c>
      <c r="F80" s="40" t="s">
        <v>232</v>
      </c>
      <c r="G80" s="40" t="s">
        <v>1761</v>
      </c>
      <c r="H80" s="53" t="s">
        <v>1738</v>
      </c>
    </row>
    <row r="81" spans="1:6" s="25" customFormat="1" x14ac:dyDescent="0.25">
      <c r="A81" s="18"/>
      <c r="B81" s="53"/>
      <c r="C81" s="53"/>
      <c r="D81" s="40"/>
      <c r="E81" s="68"/>
      <c r="F81" s="40"/>
    </row>
    <row r="82" spans="1:6" s="25" customFormat="1" x14ac:dyDescent="0.25">
      <c r="A82" s="18"/>
      <c r="B82" s="53"/>
      <c r="C82" s="53"/>
      <c r="D82" s="40"/>
      <c r="E82" s="68"/>
    </row>
    <row r="83" spans="1:6" s="25" customFormat="1" x14ac:dyDescent="0.25"/>
    <row r="84" spans="1:6" s="25" customFormat="1" x14ac:dyDescent="0.25">
      <c r="D84" s="7" t="s">
        <v>11</v>
      </c>
      <c r="E84" s="38">
        <f>SUM(E2:E80)</f>
        <v>26.126273510971778</v>
      </c>
    </row>
    <row r="85" spans="1:6" s="25" customFormat="1" x14ac:dyDescent="0.25">
      <c r="E85" s="69">
        <f>E84/46.48</f>
        <v>0.56209710651832567</v>
      </c>
    </row>
    <row r="86" spans="1:6" s="25" customFormat="1" x14ac:dyDescent="0.25"/>
    <row r="87" spans="1:6" s="25" customFormat="1" x14ac:dyDescent="0.25">
      <c r="B87" s="70"/>
    </row>
    <row r="88" spans="1:6" s="25" customFormat="1" x14ac:dyDescent="0.25">
      <c r="A88" s="66" t="s">
        <v>296</v>
      </c>
      <c r="B88" s="66" t="s">
        <v>2358</v>
      </c>
    </row>
    <row r="89" spans="1:6" s="25" customFormat="1" x14ac:dyDescent="0.25">
      <c r="B89" s="66" t="s">
        <v>2361</v>
      </c>
    </row>
    <row r="90" spans="1:6" s="25" customFormat="1" x14ac:dyDescent="0.25">
      <c r="B90" s="70" t="s">
        <v>2360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4"/>
  <sheetViews>
    <sheetView workbookViewId="0"/>
  </sheetViews>
  <sheetFormatPr defaultRowHeight="15" x14ac:dyDescent="0.25"/>
  <cols>
    <col min="1" max="1" width="12.42578125" customWidth="1"/>
    <col min="2" max="2" width="46.85546875" customWidth="1"/>
    <col min="3" max="3" width="14" customWidth="1"/>
    <col min="4" max="4" width="32" customWidth="1"/>
    <col min="5" max="5" width="15.7109375" customWidth="1"/>
    <col min="6" max="6" width="49" customWidth="1"/>
    <col min="7" max="7" width="36.140625" customWidth="1"/>
    <col min="8" max="8" width="30.85546875" customWidth="1"/>
  </cols>
  <sheetData>
    <row r="1" spans="1:8" s="1" customFormat="1" ht="75" x14ac:dyDescent="0.25">
      <c r="A1" s="1" t="s">
        <v>0</v>
      </c>
      <c r="B1" s="1" t="s">
        <v>1</v>
      </c>
      <c r="C1" s="1" t="s">
        <v>4</v>
      </c>
      <c r="D1" s="1" t="s">
        <v>2</v>
      </c>
      <c r="E1" s="17" t="s">
        <v>1785</v>
      </c>
      <c r="F1" s="1" t="s">
        <v>7</v>
      </c>
      <c r="G1" s="45" t="s">
        <v>10</v>
      </c>
      <c r="H1" s="1" t="s">
        <v>3</v>
      </c>
    </row>
    <row r="2" spans="1:8" s="53" customFormat="1" x14ac:dyDescent="0.25">
      <c r="A2" s="18" t="s">
        <v>1108</v>
      </c>
      <c r="B2" s="53" t="s">
        <v>1109</v>
      </c>
      <c r="C2" s="53" t="s">
        <v>1110</v>
      </c>
      <c r="D2" s="53" t="s">
        <v>1111</v>
      </c>
      <c r="E2" s="71">
        <f>611/5280</f>
        <v>0.11571969696969697</v>
      </c>
      <c r="F2" s="53" t="s">
        <v>13</v>
      </c>
      <c r="G2" s="53" t="s">
        <v>1112</v>
      </c>
      <c r="H2" s="53" t="s">
        <v>1777</v>
      </c>
    </row>
    <row r="3" spans="1:8" s="53" customFormat="1" x14ac:dyDescent="0.25">
      <c r="A3" s="18" t="s">
        <v>1108</v>
      </c>
      <c r="B3" s="53" t="s">
        <v>1113</v>
      </c>
      <c r="C3" s="53" t="s">
        <v>1110</v>
      </c>
      <c r="D3" s="53" t="s">
        <v>1111</v>
      </c>
      <c r="E3" s="71">
        <f>842/5280</f>
        <v>0.15946969696969698</v>
      </c>
      <c r="F3" s="53" t="s">
        <v>13</v>
      </c>
      <c r="G3" s="53" t="s">
        <v>1114</v>
      </c>
      <c r="H3" s="53" t="s">
        <v>1777</v>
      </c>
    </row>
    <row r="4" spans="1:8" s="53" customFormat="1" x14ac:dyDescent="0.25">
      <c r="A4" s="18" t="s">
        <v>1108</v>
      </c>
      <c r="B4" s="53" t="s">
        <v>1115</v>
      </c>
      <c r="C4" s="53" t="s">
        <v>1110</v>
      </c>
      <c r="D4" s="53" t="s">
        <v>1116</v>
      </c>
      <c r="E4" s="71">
        <f>542/5280</f>
        <v>0.10265151515151515</v>
      </c>
      <c r="F4" s="53" t="s">
        <v>232</v>
      </c>
      <c r="H4" s="53" t="s">
        <v>1777</v>
      </c>
    </row>
    <row r="5" spans="1:8" s="53" customFormat="1" x14ac:dyDescent="0.25">
      <c r="A5" s="18" t="s">
        <v>1108</v>
      </c>
      <c r="B5" s="53" t="s">
        <v>1117</v>
      </c>
      <c r="C5" s="53" t="s">
        <v>1110</v>
      </c>
      <c r="D5" s="53" t="s">
        <v>1118</v>
      </c>
      <c r="E5" s="71">
        <f>(2212+1052+4769)/5280</f>
        <v>1.5214015151515152</v>
      </c>
      <c r="F5" s="53" t="s">
        <v>136</v>
      </c>
      <c r="G5" s="53" t="s">
        <v>1119</v>
      </c>
      <c r="H5" s="53" t="s">
        <v>1777</v>
      </c>
    </row>
    <row r="6" spans="1:8" s="53" customFormat="1" x14ac:dyDescent="0.25">
      <c r="A6" s="18" t="s">
        <v>1108</v>
      </c>
      <c r="B6" s="53" t="s">
        <v>1120</v>
      </c>
      <c r="C6" s="53" t="s">
        <v>1110</v>
      </c>
      <c r="D6" s="53" t="s">
        <v>1771</v>
      </c>
      <c r="E6" s="71">
        <f>667/5280</f>
        <v>0.12632575757575756</v>
      </c>
      <c r="F6" s="53" t="s">
        <v>1121</v>
      </c>
      <c r="G6" s="53" t="s">
        <v>1772</v>
      </c>
      <c r="H6" s="53" t="s">
        <v>1779</v>
      </c>
    </row>
    <row r="7" spans="1:8" s="53" customFormat="1" x14ac:dyDescent="0.25">
      <c r="A7" s="18" t="s">
        <v>1108</v>
      </c>
      <c r="B7" s="53" t="s">
        <v>1122</v>
      </c>
      <c r="C7" s="53" t="s">
        <v>1110</v>
      </c>
      <c r="D7" s="53" t="s">
        <v>1123</v>
      </c>
      <c r="E7" s="71">
        <f>1977/5280</f>
        <v>0.3744318181818182</v>
      </c>
      <c r="F7" s="53" t="s">
        <v>154</v>
      </c>
      <c r="G7" s="53" t="s">
        <v>1773</v>
      </c>
      <c r="H7" s="53" t="s">
        <v>1779</v>
      </c>
    </row>
    <row r="8" spans="1:8" s="53" customFormat="1" x14ac:dyDescent="0.25">
      <c r="A8" s="18" t="s">
        <v>1108</v>
      </c>
      <c r="B8" s="53" t="s">
        <v>1124</v>
      </c>
      <c r="C8" s="53" t="s">
        <v>1110</v>
      </c>
      <c r="D8" s="53" t="s">
        <v>1125</v>
      </c>
      <c r="E8" s="81">
        <f>1763/5280</f>
        <v>0.33390151515151517</v>
      </c>
      <c r="F8" s="53" t="s">
        <v>9</v>
      </c>
      <c r="G8" s="53" t="s">
        <v>153</v>
      </c>
      <c r="H8" s="53" t="s">
        <v>1777</v>
      </c>
    </row>
    <row r="9" spans="1:8" s="53" customFormat="1" x14ac:dyDescent="0.25">
      <c r="A9" s="18" t="s">
        <v>1108</v>
      </c>
      <c r="B9" s="53" t="s">
        <v>1126</v>
      </c>
      <c r="C9" s="53" t="s">
        <v>1110</v>
      </c>
      <c r="D9" s="53" t="s">
        <v>1118</v>
      </c>
      <c r="E9" s="71">
        <f>(714+1142)/5280</f>
        <v>0.3515151515151515</v>
      </c>
      <c r="F9" s="53" t="s">
        <v>28</v>
      </c>
      <c r="G9" s="53" t="s">
        <v>1776</v>
      </c>
      <c r="H9" s="53" t="s">
        <v>1777</v>
      </c>
    </row>
    <row r="10" spans="1:8" s="53" customFormat="1" x14ac:dyDescent="0.25">
      <c r="A10" s="18" t="s">
        <v>1108</v>
      </c>
      <c r="B10" s="53" t="s">
        <v>1774</v>
      </c>
      <c r="C10" s="53" t="s">
        <v>1110</v>
      </c>
      <c r="D10" s="53" t="s">
        <v>1118</v>
      </c>
      <c r="E10" s="71">
        <f>700/5280</f>
        <v>0.13257575757575757</v>
      </c>
      <c r="F10" s="53" t="s">
        <v>13</v>
      </c>
      <c r="G10" s="53" t="s">
        <v>1775</v>
      </c>
      <c r="H10" s="53" t="s">
        <v>1777</v>
      </c>
    </row>
    <row r="11" spans="1:8" s="53" customFormat="1" x14ac:dyDescent="0.25">
      <c r="A11" s="18" t="s">
        <v>1108</v>
      </c>
      <c r="B11" s="54" t="s">
        <v>1778</v>
      </c>
      <c r="C11" s="53" t="s">
        <v>1110</v>
      </c>
      <c r="D11" s="53" t="s">
        <v>1118</v>
      </c>
      <c r="E11" s="71">
        <f>282/5280</f>
        <v>5.3409090909090906E-2</v>
      </c>
      <c r="F11" s="53" t="s">
        <v>28</v>
      </c>
      <c r="G11" s="53" t="s">
        <v>1781</v>
      </c>
      <c r="H11" s="53" t="s">
        <v>1782</v>
      </c>
    </row>
    <row r="12" spans="1:8" s="53" customFormat="1" x14ac:dyDescent="0.25">
      <c r="A12" s="18" t="s">
        <v>1108</v>
      </c>
      <c r="B12" s="54" t="s">
        <v>1127</v>
      </c>
      <c r="C12" s="53" t="s">
        <v>1110</v>
      </c>
      <c r="D12" s="53" t="s">
        <v>1118</v>
      </c>
      <c r="E12" s="71" t="s">
        <v>1783</v>
      </c>
      <c r="F12" s="53" t="s">
        <v>1128</v>
      </c>
      <c r="G12" s="53" t="s">
        <v>1784</v>
      </c>
      <c r="H12" s="53" t="s">
        <v>1777</v>
      </c>
    </row>
    <row r="13" spans="1:8" s="53" customFormat="1" x14ac:dyDescent="0.25">
      <c r="A13" s="18" t="s">
        <v>1108</v>
      </c>
      <c r="B13" s="54" t="s">
        <v>1790</v>
      </c>
      <c r="C13" s="53" t="s">
        <v>1110</v>
      </c>
      <c r="D13" s="53" t="s">
        <v>1130</v>
      </c>
      <c r="E13" s="71">
        <f>2599/5280</f>
        <v>0.4922348484848485</v>
      </c>
      <c r="F13" s="53" t="s">
        <v>232</v>
      </c>
      <c r="G13" s="53" t="s">
        <v>1789</v>
      </c>
      <c r="H13" s="53" t="s">
        <v>1777</v>
      </c>
    </row>
    <row r="14" spans="1:8" s="53" customFormat="1" x14ac:dyDescent="0.25">
      <c r="A14" s="18" t="s">
        <v>1108</v>
      </c>
      <c r="B14" s="54" t="s">
        <v>1786</v>
      </c>
      <c r="C14" s="53" t="s">
        <v>1110</v>
      </c>
      <c r="D14" s="53" t="s">
        <v>1130</v>
      </c>
      <c r="E14" s="71">
        <f>614/5280</f>
        <v>0.11628787878787879</v>
      </c>
      <c r="F14" s="53" t="s">
        <v>232</v>
      </c>
      <c r="G14" s="53" t="s">
        <v>1788</v>
      </c>
      <c r="H14" s="53" t="s">
        <v>1777</v>
      </c>
    </row>
    <row r="15" spans="1:8" s="53" customFormat="1" x14ac:dyDescent="0.25">
      <c r="A15" s="18" t="s">
        <v>1108</v>
      </c>
      <c r="B15" s="53" t="s">
        <v>1129</v>
      </c>
      <c r="C15" s="53" t="s">
        <v>1110</v>
      </c>
      <c r="D15" s="53" t="s">
        <v>1130</v>
      </c>
      <c r="E15" s="81">
        <f>(564)/5280</f>
        <v>0.10681818181818181</v>
      </c>
      <c r="F15" s="53" t="s">
        <v>9</v>
      </c>
      <c r="G15" s="53" t="s">
        <v>1787</v>
      </c>
      <c r="H15" s="53" t="s">
        <v>1777</v>
      </c>
    </row>
    <row r="16" spans="1:8" s="53" customFormat="1" x14ac:dyDescent="0.25">
      <c r="A16" s="18" t="s">
        <v>1108</v>
      </c>
      <c r="B16" s="53" t="s">
        <v>1131</v>
      </c>
      <c r="C16" s="53" t="s">
        <v>1110</v>
      </c>
      <c r="D16" s="53" t="s">
        <v>17</v>
      </c>
      <c r="E16" s="71">
        <f>(1050+532)/5280</f>
        <v>0.29962121212121212</v>
      </c>
      <c r="F16" s="53" t="s">
        <v>208</v>
      </c>
      <c r="G16" s="53" t="s">
        <v>1132</v>
      </c>
      <c r="H16" s="53" t="s">
        <v>1777</v>
      </c>
    </row>
    <row r="17" spans="1:8" s="53" customFormat="1" x14ac:dyDescent="0.25">
      <c r="A17" s="18" t="s">
        <v>1108</v>
      </c>
      <c r="B17" s="53" t="s">
        <v>1133</v>
      </c>
      <c r="C17" s="53" t="s">
        <v>1110</v>
      </c>
      <c r="D17" s="53" t="s">
        <v>1118</v>
      </c>
      <c r="E17" s="71">
        <f>2619/5280</f>
        <v>0.49602272727272728</v>
      </c>
      <c r="F17" s="53" t="s">
        <v>28</v>
      </c>
      <c r="G17" s="53" t="s">
        <v>1134</v>
      </c>
      <c r="H17" s="53" t="s">
        <v>1777</v>
      </c>
    </row>
    <row r="18" spans="1:8" s="53" customFormat="1" x14ac:dyDescent="0.25">
      <c r="A18" s="18" t="s">
        <v>1108</v>
      </c>
      <c r="B18" s="53" t="s">
        <v>1135</v>
      </c>
      <c r="C18" s="53" t="s">
        <v>1110</v>
      </c>
      <c r="D18" s="53" t="s">
        <v>17</v>
      </c>
      <c r="E18" s="71">
        <f>(106+1020+59+125+52)/5280</f>
        <v>0.25795454545454544</v>
      </c>
      <c r="F18" s="53" t="s">
        <v>208</v>
      </c>
      <c r="H18" s="53" t="s">
        <v>1777</v>
      </c>
    </row>
    <row r="19" spans="1:8" s="53" customFormat="1" x14ac:dyDescent="0.25">
      <c r="A19" s="18" t="s">
        <v>1108</v>
      </c>
      <c r="B19" s="53" t="s">
        <v>1136</v>
      </c>
      <c r="C19" s="53" t="s">
        <v>1110</v>
      </c>
      <c r="D19" s="53" t="s">
        <v>17</v>
      </c>
      <c r="E19" s="71">
        <f>2259/5280</f>
        <v>0.42784090909090911</v>
      </c>
      <c r="F19" s="53" t="s">
        <v>13</v>
      </c>
      <c r="H19" s="53" t="s">
        <v>1777</v>
      </c>
    </row>
    <row r="20" spans="1:8" s="25" customFormat="1" x14ac:dyDescent="0.25">
      <c r="A20" s="18" t="s">
        <v>1108</v>
      </c>
      <c r="B20" s="53" t="s">
        <v>1137</v>
      </c>
      <c r="C20" s="53" t="s">
        <v>1110</v>
      </c>
      <c r="D20" s="53" t="s">
        <v>17</v>
      </c>
      <c r="E20" s="71">
        <f>2209/5280</f>
        <v>0.41837121212121214</v>
      </c>
      <c r="F20" s="53" t="s">
        <v>13</v>
      </c>
      <c r="G20" s="53" t="s">
        <v>1138</v>
      </c>
      <c r="H20" s="53" t="s">
        <v>1777</v>
      </c>
    </row>
    <row r="21" spans="1:8" s="25" customFormat="1" x14ac:dyDescent="0.25">
      <c r="A21" s="18" t="s">
        <v>1108</v>
      </c>
      <c r="B21" s="54" t="s">
        <v>1854</v>
      </c>
      <c r="C21" s="53" t="s">
        <v>1140</v>
      </c>
      <c r="D21" s="53" t="s">
        <v>1850</v>
      </c>
      <c r="E21" s="71">
        <f>(1422+1251)/5280</f>
        <v>0.50624999999999998</v>
      </c>
      <c r="F21" s="53" t="s">
        <v>1853</v>
      </c>
      <c r="G21" s="53" t="s">
        <v>1851</v>
      </c>
      <c r="H21" s="53" t="s">
        <v>1852</v>
      </c>
    </row>
    <row r="22" spans="1:8" s="25" customFormat="1" x14ac:dyDescent="0.25">
      <c r="A22" s="18" t="s">
        <v>1108</v>
      </c>
      <c r="B22" s="54" t="s">
        <v>1139</v>
      </c>
      <c r="C22" s="53" t="s">
        <v>1140</v>
      </c>
      <c r="D22" s="53" t="s">
        <v>1141</v>
      </c>
      <c r="E22" s="71">
        <f>197/5280</f>
        <v>3.7310606060606058E-2</v>
      </c>
      <c r="F22" s="53" t="s">
        <v>1142</v>
      </c>
      <c r="G22" s="53" t="s">
        <v>1143</v>
      </c>
      <c r="H22" s="53" t="s">
        <v>1777</v>
      </c>
    </row>
    <row r="23" spans="1:8" s="25" customFormat="1" x14ac:dyDescent="0.25">
      <c r="A23" s="18" t="s">
        <v>1108</v>
      </c>
      <c r="B23" s="54" t="s">
        <v>1144</v>
      </c>
      <c r="C23" s="53" t="s">
        <v>1140</v>
      </c>
      <c r="D23" s="53" t="s">
        <v>1141</v>
      </c>
      <c r="E23" s="22" t="s">
        <v>354</v>
      </c>
      <c r="F23" s="53" t="s">
        <v>1145</v>
      </c>
      <c r="G23" s="53" t="s">
        <v>1146</v>
      </c>
      <c r="H23" s="53" t="s">
        <v>1777</v>
      </c>
    </row>
    <row r="24" spans="1:8" s="25" customFormat="1" x14ac:dyDescent="0.25">
      <c r="A24" s="18" t="s">
        <v>1108</v>
      </c>
      <c r="B24" s="54" t="s">
        <v>1147</v>
      </c>
      <c r="C24" s="53" t="s">
        <v>1140</v>
      </c>
      <c r="D24" s="25" t="s">
        <v>1148</v>
      </c>
      <c r="E24" s="71">
        <f>2809/5280</f>
        <v>0.53200757575757573</v>
      </c>
      <c r="F24" s="53" t="s">
        <v>232</v>
      </c>
      <c r="G24" s="53" t="s">
        <v>1149</v>
      </c>
      <c r="H24" s="53" t="s">
        <v>1777</v>
      </c>
    </row>
    <row r="25" spans="1:8" s="25" customFormat="1" x14ac:dyDescent="0.25">
      <c r="A25" s="18" t="s">
        <v>1108</v>
      </c>
      <c r="B25" s="54" t="s">
        <v>1791</v>
      </c>
      <c r="C25" s="53" t="s">
        <v>1140</v>
      </c>
      <c r="D25" s="25" t="s">
        <v>1148</v>
      </c>
      <c r="E25" s="71">
        <f>279/5280</f>
        <v>5.2840909090909091E-2</v>
      </c>
      <c r="F25" s="53" t="s">
        <v>1166</v>
      </c>
      <c r="G25" s="53" t="s">
        <v>1792</v>
      </c>
      <c r="H25" s="53" t="s">
        <v>1777</v>
      </c>
    </row>
    <row r="26" spans="1:8" s="25" customFormat="1" x14ac:dyDescent="0.25">
      <c r="A26" s="18" t="s">
        <v>1108</v>
      </c>
      <c r="B26" s="53" t="s">
        <v>1150</v>
      </c>
      <c r="C26" s="53" t="s">
        <v>1140</v>
      </c>
      <c r="D26" s="23" t="s">
        <v>5</v>
      </c>
      <c r="E26" s="71">
        <f>2955/5280</f>
        <v>0.55965909090909094</v>
      </c>
      <c r="F26" s="23" t="s">
        <v>8</v>
      </c>
      <c r="G26" s="53" t="s">
        <v>836</v>
      </c>
      <c r="H26" s="53" t="s">
        <v>1777</v>
      </c>
    </row>
    <row r="27" spans="1:8" s="25" customFormat="1" x14ac:dyDescent="0.25">
      <c r="A27" s="18" t="s">
        <v>1108</v>
      </c>
      <c r="B27" s="53" t="s">
        <v>1151</v>
      </c>
      <c r="C27" s="53" t="s">
        <v>1140</v>
      </c>
      <c r="D27" s="25" t="s">
        <v>1118</v>
      </c>
      <c r="E27" s="71">
        <f>639/5280</f>
        <v>0.12102272727272727</v>
      </c>
      <c r="F27" s="53" t="s">
        <v>911</v>
      </c>
      <c r="G27" s="53" t="s">
        <v>1793</v>
      </c>
      <c r="H27" s="53" t="s">
        <v>1777</v>
      </c>
    </row>
    <row r="28" spans="1:8" s="25" customFormat="1" x14ac:dyDescent="0.25">
      <c r="A28" s="18" t="s">
        <v>1108</v>
      </c>
      <c r="B28" s="53" t="s">
        <v>1152</v>
      </c>
      <c r="C28" s="53" t="s">
        <v>1140</v>
      </c>
      <c r="D28" s="25" t="s">
        <v>1153</v>
      </c>
      <c r="E28" s="71">
        <f>2161/5280</f>
        <v>0.40928030303030305</v>
      </c>
      <c r="F28" s="53" t="s">
        <v>232</v>
      </c>
      <c r="G28" s="53" t="s">
        <v>1154</v>
      </c>
      <c r="H28" s="53" t="s">
        <v>1777</v>
      </c>
    </row>
    <row r="29" spans="1:8" s="25" customFormat="1" x14ac:dyDescent="0.25">
      <c r="A29" s="18" t="s">
        <v>1108</v>
      </c>
      <c r="B29" s="53" t="s">
        <v>1155</v>
      </c>
      <c r="C29" s="53" t="s">
        <v>1156</v>
      </c>
      <c r="D29" s="25" t="s">
        <v>1118</v>
      </c>
      <c r="E29" s="71">
        <f>(235+2948+1456+832+606+9990+203)/5280</f>
        <v>3.081439393939394</v>
      </c>
      <c r="F29" s="53" t="s">
        <v>136</v>
      </c>
      <c r="G29" s="53" t="s">
        <v>1157</v>
      </c>
      <c r="H29" s="23" t="s">
        <v>1780</v>
      </c>
    </row>
    <row r="30" spans="1:8" s="25" customFormat="1" x14ac:dyDescent="0.25">
      <c r="A30" s="18" t="s">
        <v>1108</v>
      </c>
      <c r="B30" s="53" t="s">
        <v>1158</v>
      </c>
      <c r="C30" s="53" t="s">
        <v>1159</v>
      </c>
      <c r="D30" s="25" t="s">
        <v>1160</v>
      </c>
      <c r="E30" s="71">
        <f>(162+257)/5280</f>
        <v>7.9356060606060611E-2</v>
      </c>
      <c r="F30" s="53" t="s">
        <v>232</v>
      </c>
      <c r="G30" s="53" t="s">
        <v>1161</v>
      </c>
      <c r="H30" s="53" t="s">
        <v>1777</v>
      </c>
    </row>
    <row r="31" spans="1:8" s="25" customFormat="1" x14ac:dyDescent="0.25">
      <c r="A31" s="18" t="s">
        <v>1108</v>
      </c>
      <c r="B31" s="53" t="s">
        <v>1162</v>
      </c>
      <c r="C31" s="53" t="s">
        <v>1159</v>
      </c>
      <c r="D31" s="25" t="s">
        <v>1160</v>
      </c>
      <c r="E31" s="71">
        <f>1100/5280</f>
        <v>0.20833333333333334</v>
      </c>
      <c r="F31" s="53" t="s">
        <v>232</v>
      </c>
      <c r="G31" s="53" t="s">
        <v>1163</v>
      </c>
      <c r="H31" s="53" t="s">
        <v>1777</v>
      </c>
    </row>
    <row r="32" spans="1:8" s="25" customFormat="1" x14ac:dyDescent="0.25">
      <c r="A32" s="18" t="s">
        <v>1108</v>
      </c>
      <c r="B32" s="53" t="s">
        <v>1164</v>
      </c>
      <c r="C32" s="53" t="s">
        <v>1159</v>
      </c>
      <c r="D32" s="25" t="s">
        <v>1165</v>
      </c>
      <c r="E32" s="71">
        <f>2763/5280</f>
        <v>0.52329545454545456</v>
      </c>
      <c r="F32" s="53" t="s">
        <v>1166</v>
      </c>
      <c r="H32" s="53" t="s">
        <v>1777</v>
      </c>
    </row>
    <row r="33" spans="1:8" s="25" customFormat="1" x14ac:dyDescent="0.25">
      <c r="A33" s="18" t="s">
        <v>1108</v>
      </c>
      <c r="B33" s="54" t="s">
        <v>1794</v>
      </c>
      <c r="C33" s="53" t="s">
        <v>1159</v>
      </c>
      <c r="D33" s="25" t="s">
        <v>1165</v>
      </c>
      <c r="E33" s="71">
        <f>(590+67)/5280</f>
        <v>0.12443181818181819</v>
      </c>
      <c r="F33" s="53" t="s">
        <v>232</v>
      </c>
      <c r="G33" s="53" t="s">
        <v>1795</v>
      </c>
      <c r="H33" s="53" t="s">
        <v>1777</v>
      </c>
    </row>
    <row r="34" spans="1:8" s="25" customFormat="1" x14ac:dyDescent="0.25">
      <c r="A34" s="18" t="s">
        <v>1108</v>
      </c>
      <c r="B34" s="53" t="s">
        <v>1167</v>
      </c>
      <c r="C34" s="53" t="s">
        <v>1159</v>
      </c>
      <c r="D34" s="25" t="s">
        <v>1168</v>
      </c>
      <c r="E34" s="71">
        <f>(826)/5280</f>
        <v>0.15643939393939393</v>
      </c>
      <c r="F34" s="53" t="s">
        <v>232</v>
      </c>
      <c r="G34" s="53" t="s">
        <v>1169</v>
      </c>
      <c r="H34" s="53" t="s">
        <v>1777</v>
      </c>
    </row>
    <row r="35" spans="1:8" s="25" customFormat="1" x14ac:dyDescent="0.25">
      <c r="A35" s="18" t="s">
        <v>1108</v>
      </c>
      <c r="B35" s="53" t="s">
        <v>1170</v>
      </c>
      <c r="C35" s="53" t="s">
        <v>1159</v>
      </c>
      <c r="D35" s="25" t="s">
        <v>1171</v>
      </c>
      <c r="E35" s="71">
        <f>1477/5280</f>
        <v>0.27973484848484848</v>
      </c>
      <c r="F35" s="53" t="s">
        <v>9</v>
      </c>
      <c r="G35" s="53" t="s">
        <v>1172</v>
      </c>
      <c r="H35" s="53" t="s">
        <v>1777</v>
      </c>
    </row>
    <row r="36" spans="1:8" s="25" customFormat="1" x14ac:dyDescent="0.25">
      <c r="A36" s="18" t="s">
        <v>1108</v>
      </c>
      <c r="B36" s="53" t="s">
        <v>1173</v>
      </c>
      <c r="C36" s="53" t="s">
        <v>1159</v>
      </c>
      <c r="D36" s="25" t="s">
        <v>1171</v>
      </c>
      <c r="E36" s="71">
        <f>831/5280</f>
        <v>0.15738636363636363</v>
      </c>
      <c r="F36" s="23" t="s">
        <v>9</v>
      </c>
      <c r="G36" s="53" t="s">
        <v>1174</v>
      </c>
      <c r="H36" s="53" t="s">
        <v>1777</v>
      </c>
    </row>
    <row r="37" spans="1:8" s="25" customFormat="1" x14ac:dyDescent="0.25">
      <c r="A37" s="18" t="s">
        <v>1108</v>
      </c>
      <c r="B37" s="53" t="s">
        <v>1175</v>
      </c>
      <c r="C37" s="53" t="s">
        <v>1159</v>
      </c>
      <c r="D37" s="25" t="s">
        <v>1171</v>
      </c>
      <c r="E37" s="71">
        <f>3420/5280</f>
        <v>0.64772727272727271</v>
      </c>
      <c r="F37" s="53" t="s">
        <v>9</v>
      </c>
      <c r="G37" s="53" t="s">
        <v>1796</v>
      </c>
      <c r="H37" s="53" t="s">
        <v>1777</v>
      </c>
    </row>
    <row r="38" spans="1:8" s="25" customFormat="1" x14ac:dyDescent="0.25">
      <c r="A38" s="18" t="s">
        <v>1108</v>
      </c>
      <c r="B38" s="53" t="s">
        <v>1176</v>
      </c>
      <c r="C38" s="53" t="s">
        <v>1159</v>
      </c>
      <c r="D38" s="25" t="s">
        <v>1171</v>
      </c>
      <c r="E38" s="71">
        <f>1641/5280</f>
        <v>0.31079545454545454</v>
      </c>
      <c r="F38" s="53" t="s">
        <v>9</v>
      </c>
      <c r="G38" s="53" t="s">
        <v>1797</v>
      </c>
      <c r="H38" s="53" t="s">
        <v>1777</v>
      </c>
    </row>
    <row r="39" spans="1:8" s="25" customFormat="1" x14ac:dyDescent="0.25">
      <c r="A39" s="18" t="s">
        <v>1108</v>
      </c>
      <c r="B39" s="53" t="s">
        <v>1177</v>
      </c>
      <c r="C39" s="53" t="s">
        <v>1159</v>
      </c>
      <c r="D39" s="53" t="s">
        <v>1178</v>
      </c>
      <c r="E39" s="71">
        <f>(1386+923+4159)/5280</f>
        <v>1.2250000000000001</v>
      </c>
      <c r="F39" s="53" t="s">
        <v>911</v>
      </c>
      <c r="G39" s="53" t="s">
        <v>1179</v>
      </c>
      <c r="H39" s="53" t="s">
        <v>1777</v>
      </c>
    </row>
    <row r="40" spans="1:8" s="25" customFormat="1" x14ac:dyDescent="0.25">
      <c r="A40" s="18" t="s">
        <v>1108</v>
      </c>
      <c r="B40" s="53" t="s">
        <v>852</v>
      </c>
      <c r="C40" s="53" t="s">
        <v>1159</v>
      </c>
      <c r="D40" s="53" t="s">
        <v>1178</v>
      </c>
      <c r="E40" s="71">
        <f>6505/5280</f>
        <v>1.2320075757575757</v>
      </c>
      <c r="F40" s="53" t="s">
        <v>232</v>
      </c>
      <c r="G40" s="53" t="s">
        <v>1798</v>
      </c>
      <c r="H40" s="53" t="s">
        <v>1777</v>
      </c>
    </row>
    <row r="41" spans="1:8" s="25" customFormat="1" x14ac:dyDescent="0.25">
      <c r="A41" s="18" t="s">
        <v>1108</v>
      </c>
      <c r="B41" s="53" t="s">
        <v>1180</v>
      </c>
      <c r="C41" s="53" t="s">
        <v>1159</v>
      </c>
      <c r="D41" s="53" t="s">
        <v>1178</v>
      </c>
      <c r="E41" s="71">
        <f>(582+745)/5280</f>
        <v>0.25132575757575759</v>
      </c>
      <c r="F41" s="53" t="s">
        <v>9</v>
      </c>
      <c r="G41" s="53" t="s">
        <v>1799</v>
      </c>
      <c r="H41" s="53" t="s">
        <v>1777</v>
      </c>
    </row>
    <row r="42" spans="1:8" s="25" customFormat="1" x14ac:dyDescent="0.25">
      <c r="A42" s="18" t="s">
        <v>1108</v>
      </c>
      <c r="B42" s="54" t="s">
        <v>1800</v>
      </c>
      <c r="C42" s="53" t="s">
        <v>1159</v>
      </c>
      <c r="D42" s="53" t="s">
        <v>1178</v>
      </c>
      <c r="E42" s="71">
        <f>6054/5280</f>
        <v>1.146590909090909</v>
      </c>
      <c r="F42" s="53" t="s">
        <v>232</v>
      </c>
      <c r="G42" s="53" t="s">
        <v>1849</v>
      </c>
      <c r="H42" s="53" t="s">
        <v>1777</v>
      </c>
    </row>
    <row r="43" spans="1:8" s="25" customFormat="1" x14ac:dyDescent="0.25">
      <c r="A43" s="18" t="s">
        <v>1108</v>
      </c>
      <c r="B43" s="54" t="s">
        <v>1801</v>
      </c>
      <c r="C43" s="53" t="s">
        <v>1159</v>
      </c>
      <c r="D43" s="53" t="s">
        <v>1802</v>
      </c>
      <c r="E43" s="71">
        <f>1682/5280</f>
        <v>0.31856060606060604</v>
      </c>
      <c r="F43" s="53" t="s">
        <v>232</v>
      </c>
      <c r="G43" s="53" t="s">
        <v>1803</v>
      </c>
      <c r="H43" s="53" t="s">
        <v>1777</v>
      </c>
    </row>
    <row r="44" spans="1:8" s="25" customFormat="1" x14ac:dyDescent="0.25">
      <c r="A44" s="18" t="s">
        <v>1108</v>
      </c>
      <c r="B44" s="53" t="s">
        <v>1181</v>
      </c>
      <c r="C44" s="53" t="s">
        <v>1159</v>
      </c>
      <c r="D44" s="53" t="s">
        <v>1802</v>
      </c>
      <c r="E44" s="71">
        <f>(1910+1454)/5280</f>
        <v>0.63712121212121209</v>
      </c>
      <c r="F44" s="53" t="s">
        <v>28</v>
      </c>
      <c r="G44" s="53" t="s">
        <v>1182</v>
      </c>
      <c r="H44" s="53" t="s">
        <v>1777</v>
      </c>
    </row>
    <row r="45" spans="1:8" s="25" customFormat="1" x14ac:dyDescent="0.25">
      <c r="A45" s="18" t="s">
        <v>1108</v>
      </c>
      <c r="B45" s="53" t="s">
        <v>1183</v>
      </c>
      <c r="C45" s="53" t="s">
        <v>1159</v>
      </c>
      <c r="D45" s="53" t="s">
        <v>1802</v>
      </c>
      <c r="E45" s="71">
        <f>1752/5280</f>
        <v>0.33181818181818185</v>
      </c>
      <c r="F45" s="53" t="s">
        <v>232</v>
      </c>
      <c r="G45" s="53" t="s">
        <v>1184</v>
      </c>
      <c r="H45" s="53" t="s">
        <v>1777</v>
      </c>
    </row>
    <row r="46" spans="1:8" s="25" customFormat="1" x14ac:dyDescent="0.25">
      <c r="A46" s="18" t="s">
        <v>1108</v>
      </c>
      <c r="B46" s="4" t="s">
        <v>1185</v>
      </c>
      <c r="C46" s="53" t="s">
        <v>1159</v>
      </c>
      <c r="D46" s="23" t="s">
        <v>1186</v>
      </c>
      <c r="E46" s="71">
        <f>(2030+881)/5280</f>
        <v>0.55132575757575752</v>
      </c>
      <c r="F46" s="53" t="s">
        <v>911</v>
      </c>
      <c r="H46" s="53" t="s">
        <v>1777</v>
      </c>
    </row>
    <row r="47" spans="1:8" s="25" customFormat="1" x14ac:dyDescent="0.25">
      <c r="A47" s="18" t="s">
        <v>1108</v>
      </c>
      <c r="B47" s="53" t="s">
        <v>1187</v>
      </c>
      <c r="C47" s="53" t="s">
        <v>1159</v>
      </c>
      <c r="D47" s="53" t="s">
        <v>5</v>
      </c>
      <c r="E47" s="71">
        <f>2413/5280</f>
        <v>0.45700757575757578</v>
      </c>
      <c r="F47" s="53" t="s">
        <v>8</v>
      </c>
      <c r="G47" s="53" t="s">
        <v>1188</v>
      </c>
      <c r="H47" s="53" t="s">
        <v>1777</v>
      </c>
    </row>
    <row r="48" spans="1:8" s="25" customFormat="1" x14ac:dyDescent="0.25">
      <c r="A48" s="18" t="s">
        <v>1108</v>
      </c>
      <c r="B48" s="53" t="s">
        <v>1189</v>
      </c>
      <c r="C48" s="53" t="s">
        <v>1190</v>
      </c>
      <c r="D48" s="53" t="s">
        <v>1191</v>
      </c>
      <c r="E48" s="71">
        <f>3592/5280</f>
        <v>0.6803030303030303</v>
      </c>
      <c r="F48" s="53" t="s">
        <v>154</v>
      </c>
      <c r="G48" s="53" t="s">
        <v>1804</v>
      </c>
      <c r="H48" s="53" t="s">
        <v>1805</v>
      </c>
    </row>
    <row r="49" spans="1:8" s="25" customFormat="1" x14ac:dyDescent="0.25">
      <c r="A49" s="18" t="s">
        <v>1108</v>
      </c>
      <c r="B49" s="53" t="s">
        <v>1807</v>
      </c>
      <c r="C49" s="53" t="s">
        <v>1190</v>
      </c>
      <c r="D49" s="23" t="s">
        <v>1806</v>
      </c>
      <c r="E49" s="71">
        <f>8105/5280</f>
        <v>1.5350378787878789</v>
      </c>
      <c r="F49" s="53" t="s">
        <v>9</v>
      </c>
      <c r="G49" s="53" t="s">
        <v>1808</v>
      </c>
      <c r="H49" s="53" t="s">
        <v>1805</v>
      </c>
    </row>
    <row r="50" spans="1:8" s="25" customFormat="1" x14ac:dyDescent="0.25">
      <c r="A50" s="18" t="s">
        <v>1108</v>
      </c>
      <c r="B50" s="53" t="s">
        <v>1192</v>
      </c>
      <c r="C50" s="53" t="s">
        <v>1190</v>
      </c>
      <c r="D50" s="53" t="s">
        <v>1810</v>
      </c>
      <c r="E50" s="71">
        <f>4819/5280</f>
        <v>0.91268939393939397</v>
      </c>
      <c r="F50" s="53" t="s">
        <v>9</v>
      </c>
      <c r="G50" s="53" t="s">
        <v>1193</v>
      </c>
      <c r="H50" s="53" t="s">
        <v>1777</v>
      </c>
    </row>
    <row r="51" spans="1:8" s="25" customFormat="1" x14ac:dyDescent="0.25">
      <c r="A51" s="18" t="s">
        <v>1108</v>
      </c>
      <c r="B51" s="53" t="s">
        <v>1194</v>
      </c>
      <c r="C51" s="53" t="s">
        <v>1190</v>
      </c>
      <c r="D51" s="53" t="s">
        <v>1810</v>
      </c>
      <c r="E51" s="71">
        <f>(1102+7814+1362)/5280</f>
        <v>1.946590909090909</v>
      </c>
      <c r="F51" s="53" t="s">
        <v>9</v>
      </c>
      <c r="G51" s="53" t="s">
        <v>1809</v>
      </c>
      <c r="H51" s="53" t="s">
        <v>1777</v>
      </c>
    </row>
    <row r="52" spans="1:8" s="25" customFormat="1" x14ac:dyDescent="0.25">
      <c r="A52" s="18" t="s">
        <v>1108</v>
      </c>
      <c r="B52" s="53" t="s">
        <v>1195</v>
      </c>
      <c r="C52" s="53" t="s">
        <v>1190</v>
      </c>
      <c r="D52" s="53" t="s">
        <v>1810</v>
      </c>
      <c r="E52" s="71">
        <f>594/5280</f>
        <v>0.1125</v>
      </c>
      <c r="F52" s="53" t="s">
        <v>9</v>
      </c>
      <c r="G52" s="53" t="s">
        <v>1196</v>
      </c>
      <c r="H52" s="53" t="s">
        <v>1777</v>
      </c>
    </row>
    <row r="53" spans="1:8" s="25" customFormat="1" x14ac:dyDescent="0.25">
      <c r="A53" s="18" t="s">
        <v>1108</v>
      </c>
      <c r="B53" s="53" t="s">
        <v>1197</v>
      </c>
      <c r="C53" s="53" t="s">
        <v>1190</v>
      </c>
      <c r="D53" s="53" t="s">
        <v>1198</v>
      </c>
      <c r="E53" s="71">
        <f>2072/5280</f>
        <v>0.3924242424242424</v>
      </c>
      <c r="F53" s="53" t="s">
        <v>232</v>
      </c>
      <c r="G53" s="53" t="s">
        <v>1199</v>
      </c>
      <c r="H53" s="53" t="s">
        <v>1777</v>
      </c>
    </row>
    <row r="54" spans="1:8" s="25" customFormat="1" x14ac:dyDescent="0.25">
      <c r="A54" s="18" t="s">
        <v>1108</v>
      </c>
      <c r="B54" s="53" t="s">
        <v>1200</v>
      </c>
      <c r="C54" s="53" t="s">
        <v>1190</v>
      </c>
      <c r="D54" s="53" t="s">
        <v>1198</v>
      </c>
      <c r="E54" s="71">
        <f>1096/5280</f>
        <v>0.20757575757575758</v>
      </c>
      <c r="F54" s="53" t="s">
        <v>232</v>
      </c>
      <c r="G54" s="53" t="s">
        <v>1811</v>
      </c>
      <c r="H54" s="53" t="s">
        <v>1777</v>
      </c>
    </row>
    <row r="55" spans="1:8" s="25" customFormat="1" x14ac:dyDescent="0.25">
      <c r="A55" s="18" t="s">
        <v>1108</v>
      </c>
      <c r="B55" s="53" t="s">
        <v>1201</v>
      </c>
      <c r="C55" s="53" t="s">
        <v>1190</v>
      </c>
      <c r="D55" s="53" t="s">
        <v>1198</v>
      </c>
      <c r="E55" s="71">
        <f>701/5280</f>
        <v>0.1327651515151515</v>
      </c>
      <c r="F55" s="53" t="s">
        <v>232</v>
      </c>
      <c r="G55" s="53" t="s">
        <v>1202</v>
      </c>
      <c r="H55" s="53" t="s">
        <v>1777</v>
      </c>
    </row>
    <row r="56" spans="1:8" s="25" customFormat="1" x14ac:dyDescent="0.25">
      <c r="A56" s="18" t="s">
        <v>1108</v>
      </c>
      <c r="B56" s="54" t="s">
        <v>1812</v>
      </c>
      <c r="C56" s="53" t="s">
        <v>1190</v>
      </c>
      <c r="D56" s="53" t="s">
        <v>1198</v>
      </c>
      <c r="E56" s="71">
        <f>1123/5280</f>
        <v>0.21268939393939393</v>
      </c>
      <c r="F56" s="53" t="s">
        <v>232</v>
      </c>
      <c r="G56" s="53" t="s">
        <v>1813</v>
      </c>
      <c r="H56" s="53" t="s">
        <v>1777</v>
      </c>
    </row>
    <row r="57" spans="1:8" s="25" customFormat="1" x14ac:dyDescent="0.25">
      <c r="A57" s="18" t="s">
        <v>1108</v>
      </c>
      <c r="B57" s="54" t="s">
        <v>1815</v>
      </c>
      <c r="C57" s="53" t="s">
        <v>1190</v>
      </c>
      <c r="D57" s="53" t="s">
        <v>1198</v>
      </c>
      <c r="E57" s="71">
        <f>380/5280</f>
        <v>7.1969696969696975E-2</v>
      </c>
      <c r="F57" s="53" t="s">
        <v>232</v>
      </c>
      <c r="G57" s="53" t="s">
        <v>1814</v>
      </c>
      <c r="H57" s="53" t="s">
        <v>1777</v>
      </c>
    </row>
    <row r="58" spans="1:8" s="25" customFormat="1" x14ac:dyDescent="0.25">
      <c r="A58" s="18" t="s">
        <v>1108</v>
      </c>
      <c r="B58" s="53" t="s">
        <v>1203</v>
      </c>
      <c r="C58" s="53" t="s">
        <v>1190</v>
      </c>
      <c r="D58" s="53" t="s">
        <v>853</v>
      </c>
      <c r="E58" s="71">
        <f>656/5280</f>
        <v>0.12424242424242424</v>
      </c>
      <c r="F58" s="53" t="s">
        <v>232</v>
      </c>
      <c r="G58" s="53" t="s">
        <v>1204</v>
      </c>
      <c r="H58" s="53" t="s">
        <v>1816</v>
      </c>
    </row>
    <row r="59" spans="1:8" s="25" customFormat="1" x14ac:dyDescent="0.25">
      <c r="A59" s="18" t="s">
        <v>1108</v>
      </c>
      <c r="B59" s="53" t="s">
        <v>1205</v>
      </c>
      <c r="C59" s="53" t="s">
        <v>1190</v>
      </c>
      <c r="D59" s="53" t="s">
        <v>1118</v>
      </c>
      <c r="E59" s="71">
        <f>(3387+1982)/5280</f>
        <v>1.0168560606060606</v>
      </c>
      <c r="F59" s="53" t="s">
        <v>28</v>
      </c>
      <c r="G59" s="53" t="s">
        <v>1817</v>
      </c>
      <c r="H59" s="53" t="s">
        <v>1816</v>
      </c>
    </row>
    <row r="60" spans="1:8" s="25" customFormat="1" x14ac:dyDescent="0.25">
      <c r="A60" s="18" t="s">
        <v>1108</v>
      </c>
      <c r="B60" s="53" t="s">
        <v>1206</v>
      </c>
      <c r="C60" s="53" t="s">
        <v>1190</v>
      </c>
      <c r="D60" s="53" t="s">
        <v>853</v>
      </c>
      <c r="E60" s="71">
        <f>(2939+1828)/5280</f>
        <v>0.90284090909090908</v>
      </c>
      <c r="F60" s="53" t="s">
        <v>154</v>
      </c>
      <c r="G60" s="53" t="s">
        <v>1207</v>
      </c>
      <c r="H60" s="53" t="s">
        <v>1816</v>
      </c>
    </row>
    <row r="61" spans="1:8" s="25" customFormat="1" x14ac:dyDescent="0.25">
      <c r="A61" s="18" t="s">
        <v>1108</v>
      </c>
      <c r="B61" s="53" t="s">
        <v>1208</v>
      </c>
      <c r="C61" s="53" t="s">
        <v>1190</v>
      </c>
      <c r="D61" s="53" t="s">
        <v>853</v>
      </c>
      <c r="E61" s="71">
        <f>8752/5280</f>
        <v>1.6575757575757575</v>
      </c>
      <c r="F61" s="53" t="s">
        <v>13</v>
      </c>
      <c r="H61" s="53" t="s">
        <v>1816</v>
      </c>
    </row>
    <row r="62" spans="1:8" s="25" customFormat="1" x14ac:dyDescent="0.25">
      <c r="A62" s="18" t="s">
        <v>1108</v>
      </c>
      <c r="B62" s="53" t="s">
        <v>1209</v>
      </c>
      <c r="C62" s="53" t="s">
        <v>1190</v>
      </c>
      <c r="D62" s="53" t="s">
        <v>1210</v>
      </c>
      <c r="E62" s="71">
        <f>(439+607)/5280</f>
        <v>0.19810606060606062</v>
      </c>
      <c r="F62" s="53" t="s">
        <v>13</v>
      </c>
      <c r="G62" s="53" t="s">
        <v>1211</v>
      </c>
      <c r="H62" s="53" t="s">
        <v>1816</v>
      </c>
    </row>
    <row r="63" spans="1:8" s="25" customFormat="1" x14ac:dyDescent="0.25">
      <c r="A63" s="18" t="s">
        <v>1108</v>
      </c>
      <c r="B63" s="53" t="s">
        <v>1212</v>
      </c>
      <c r="C63" s="53" t="s">
        <v>1190</v>
      </c>
      <c r="D63" s="53" t="s">
        <v>853</v>
      </c>
      <c r="E63" s="71">
        <f>842/5280</f>
        <v>0.15946969696969698</v>
      </c>
      <c r="F63" s="53" t="s">
        <v>9</v>
      </c>
      <c r="G63" s="53" t="s">
        <v>1818</v>
      </c>
      <c r="H63" s="53" t="s">
        <v>1816</v>
      </c>
    </row>
    <row r="64" spans="1:8" s="25" customFormat="1" x14ac:dyDescent="0.25">
      <c r="A64" s="18" t="s">
        <v>1108</v>
      </c>
      <c r="B64" s="53" t="s">
        <v>1213</v>
      </c>
      <c r="C64" s="53" t="s">
        <v>1190</v>
      </c>
      <c r="D64" s="53" t="s">
        <v>1214</v>
      </c>
      <c r="E64" s="71">
        <f>1040/5280</f>
        <v>0.19696969696969696</v>
      </c>
      <c r="F64" s="53" t="s">
        <v>232</v>
      </c>
      <c r="G64" s="53" t="s">
        <v>1215</v>
      </c>
      <c r="H64" s="53" t="s">
        <v>1821</v>
      </c>
    </row>
    <row r="65" spans="1:8" s="25" customFormat="1" x14ac:dyDescent="0.25">
      <c r="A65" s="18" t="s">
        <v>1108</v>
      </c>
      <c r="B65" s="53" t="s">
        <v>1216</v>
      </c>
      <c r="C65" s="53" t="s">
        <v>1190</v>
      </c>
      <c r="D65" s="53" t="s">
        <v>1214</v>
      </c>
      <c r="E65" s="71">
        <f>(1181+1533)/5280</f>
        <v>0.51401515151515154</v>
      </c>
      <c r="F65" s="53" t="s">
        <v>9</v>
      </c>
      <c r="G65" s="53" t="s">
        <v>1217</v>
      </c>
      <c r="H65" s="53" t="s">
        <v>1821</v>
      </c>
    </row>
    <row r="66" spans="1:8" s="25" customFormat="1" x14ac:dyDescent="0.25">
      <c r="A66" s="18" t="s">
        <v>1108</v>
      </c>
      <c r="B66" s="53" t="s">
        <v>1218</v>
      </c>
      <c r="C66" s="53" t="s">
        <v>1190</v>
      </c>
      <c r="D66" s="53" t="s">
        <v>5</v>
      </c>
      <c r="E66" s="71">
        <f>1052/5280</f>
        <v>0.19924242424242425</v>
      </c>
      <c r="F66" s="53" t="s">
        <v>8</v>
      </c>
      <c r="G66" s="53" t="s">
        <v>1819</v>
      </c>
      <c r="H66" s="53" t="s">
        <v>1821</v>
      </c>
    </row>
    <row r="67" spans="1:8" s="25" customFormat="1" x14ac:dyDescent="0.25">
      <c r="A67" s="18" t="s">
        <v>1108</v>
      </c>
      <c r="B67" s="53" t="s">
        <v>1219</v>
      </c>
      <c r="C67" s="53" t="s">
        <v>1190</v>
      </c>
      <c r="D67" s="53" t="s">
        <v>1214</v>
      </c>
      <c r="E67" s="71">
        <f>2906/5280</f>
        <v>0.55037878787878791</v>
      </c>
      <c r="F67" s="53" t="s">
        <v>13</v>
      </c>
      <c r="G67" s="53" t="s">
        <v>1820</v>
      </c>
      <c r="H67" s="53" t="s">
        <v>1821</v>
      </c>
    </row>
    <row r="68" spans="1:8" s="25" customFormat="1" x14ac:dyDescent="0.25">
      <c r="A68" s="18" t="s">
        <v>1108</v>
      </c>
      <c r="B68" s="53" t="s">
        <v>1220</v>
      </c>
      <c r="C68" s="53" t="s">
        <v>1190</v>
      </c>
      <c r="D68" s="53" t="s">
        <v>5</v>
      </c>
      <c r="E68" s="71">
        <f>(6186)/5280</f>
        <v>1.1715909090909091</v>
      </c>
      <c r="F68" s="53" t="s">
        <v>8</v>
      </c>
      <c r="G68" s="53" t="s">
        <v>1221</v>
      </c>
      <c r="H68" s="53" t="s">
        <v>1821</v>
      </c>
    </row>
    <row r="69" spans="1:8" s="25" customFormat="1" x14ac:dyDescent="0.25">
      <c r="A69" s="18" t="s">
        <v>1108</v>
      </c>
      <c r="B69" s="53" t="s">
        <v>1222</v>
      </c>
      <c r="C69" s="53" t="s">
        <v>1190</v>
      </c>
      <c r="D69" s="53" t="s">
        <v>5</v>
      </c>
      <c r="E69" s="71">
        <f>(8036+605)/5280</f>
        <v>1.6365530303030302</v>
      </c>
      <c r="F69" s="53" t="s">
        <v>8</v>
      </c>
      <c r="G69" s="53" t="s">
        <v>1223</v>
      </c>
      <c r="H69" s="53" t="s">
        <v>1821</v>
      </c>
    </row>
    <row r="70" spans="1:8" s="25" customFormat="1" x14ac:dyDescent="0.25">
      <c r="A70" s="18" t="s">
        <v>1108</v>
      </c>
      <c r="B70" s="53" t="s">
        <v>1224</v>
      </c>
      <c r="C70" s="53" t="s">
        <v>1190</v>
      </c>
      <c r="D70" s="53" t="s">
        <v>1214</v>
      </c>
      <c r="E70" s="71">
        <f>4603/5280</f>
        <v>0.87178030303030307</v>
      </c>
      <c r="F70" s="53" t="s">
        <v>13</v>
      </c>
      <c r="G70" s="53" t="s">
        <v>1225</v>
      </c>
      <c r="H70" s="53" t="s">
        <v>1821</v>
      </c>
    </row>
    <row r="71" spans="1:8" s="25" customFormat="1" x14ac:dyDescent="0.25">
      <c r="A71" s="18" t="s">
        <v>1108</v>
      </c>
      <c r="B71" s="53" t="s">
        <v>1226</v>
      </c>
      <c r="C71" s="53" t="s">
        <v>1190</v>
      </c>
      <c r="D71" s="53" t="s">
        <v>1214</v>
      </c>
      <c r="E71" s="71">
        <f>3187/5280</f>
        <v>0.60359848484848488</v>
      </c>
      <c r="F71" s="53" t="s">
        <v>13</v>
      </c>
      <c r="G71" s="53" t="s">
        <v>1225</v>
      </c>
      <c r="H71" s="53" t="s">
        <v>1821</v>
      </c>
    </row>
    <row r="72" spans="1:8" s="25" customFormat="1" x14ac:dyDescent="0.25">
      <c r="A72" s="18" t="s">
        <v>1108</v>
      </c>
      <c r="B72" s="54" t="s">
        <v>1823</v>
      </c>
      <c r="C72" s="53" t="s">
        <v>1190</v>
      </c>
      <c r="D72" s="53" t="s">
        <v>1822</v>
      </c>
      <c r="E72" s="71">
        <f>374/5280</f>
        <v>7.0833333333333331E-2</v>
      </c>
      <c r="F72" s="53" t="s">
        <v>154</v>
      </c>
      <c r="G72" s="53" t="s">
        <v>1825</v>
      </c>
      <c r="H72" s="53" t="s">
        <v>1824</v>
      </c>
    </row>
    <row r="73" spans="1:8" s="25" customFormat="1" x14ac:dyDescent="0.25">
      <c r="A73" s="18" t="s">
        <v>1108</v>
      </c>
      <c r="B73" s="54" t="s">
        <v>1227</v>
      </c>
      <c r="C73" s="53" t="s">
        <v>1190</v>
      </c>
      <c r="D73" s="25" t="s">
        <v>1826</v>
      </c>
      <c r="E73" s="71">
        <f>(1000)/5280</f>
        <v>0.18939393939393939</v>
      </c>
      <c r="F73" s="25" t="s">
        <v>154</v>
      </c>
      <c r="G73" s="53" t="s">
        <v>1828</v>
      </c>
      <c r="H73" s="53" t="s">
        <v>1827</v>
      </c>
    </row>
    <row r="74" spans="1:8" s="25" customFormat="1" x14ac:dyDescent="0.25">
      <c r="A74" s="18" t="s">
        <v>1108</v>
      </c>
      <c r="B74" s="54" t="s">
        <v>1228</v>
      </c>
      <c r="C74" s="53" t="s">
        <v>1190</v>
      </c>
      <c r="D74" s="25" t="s">
        <v>1826</v>
      </c>
      <c r="E74" s="71">
        <f>(552+581)/5280</f>
        <v>0.21458333333333332</v>
      </c>
      <c r="F74" s="25" t="s">
        <v>154</v>
      </c>
      <c r="G74" s="53" t="s">
        <v>1229</v>
      </c>
      <c r="H74" s="53" t="s">
        <v>1827</v>
      </c>
    </row>
    <row r="75" spans="1:8" s="25" customFormat="1" x14ac:dyDescent="0.25">
      <c r="A75" s="18" t="s">
        <v>1108</v>
      </c>
      <c r="B75" s="54" t="s">
        <v>1829</v>
      </c>
      <c r="C75" s="53" t="s">
        <v>1190</v>
      </c>
      <c r="D75" s="25" t="s">
        <v>1831</v>
      </c>
      <c r="E75" s="71">
        <f>(1547+397)/5280</f>
        <v>0.36818181818181817</v>
      </c>
      <c r="F75" s="25" t="s">
        <v>154</v>
      </c>
      <c r="G75" s="53" t="s">
        <v>1830</v>
      </c>
      <c r="H75" s="53" t="s">
        <v>1832</v>
      </c>
    </row>
    <row r="76" spans="1:8" s="25" customFormat="1" x14ac:dyDescent="0.25">
      <c r="A76" s="18" t="s">
        <v>1108</v>
      </c>
      <c r="B76" s="53" t="s">
        <v>1230</v>
      </c>
      <c r="C76" s="53" t="s">
        <v>1190</v>
      </c>
      <c r="D76" s="25" t="s">
        <v>1831</v>
      </c>
      <c r="E76" s="71">
        <f>1629/5280</f>
        <v>0.30852272727272728</v>
      </c>
      <c r="F76" s="25" t="s">
        <v>154</v>
      </c>
      <c r="G76" s="53" t="s">
        <v>1231</v>
      </c>
      <c r="H76" s="53" t="s">
        <v>1777</v>
      </c>
    </row>
    <row r="77" spans="1:8" s="25" customFormat="1" x14ac:dyDescent="0.25">
      <c r="A77" s="18" t="s">
        <v>1108</v>
      </c>
      <c r="B77" s="53" t="s">
        <v>1833</v>
      </c>
      <c r="C77" s="53" t="s">
        <v>1190</v>
      </c>
      <c r="D77" s="25" t="s">
        <v>1831</v>
      </c>
      <c r="E77" s="71">
        <f>886/5280</f>
        <v>0.16780303030303031</v>
      </c>
      <c r="F77" s="25" t="s">
        <v>232</v>
      </c>
      <c r="G77" s="53" t="s">
        <v>1232</v>
      </c>
      <c r="H77" s="53" t="s">
        <v>1777</v>
      </c>
    </row>
    <row r="78" spans="1:8" s="25" customFormat="1" x14ac:dyDescent="0.25">
      <c r="A78" s="18" t="s">
        <v>1108</v>
      </c>
      <c r="B78" s="53" t="s">
        <v>1233</v>
      </c>
      <c r="C78" s="53" t="s">
        <v>1190</v>
      </c>
      <c r="D78" s="25" t="s">
        <v>1234</v>
      </c>
      <c r="E78" s="71">
        <f>(2586+1842)/5280</f>
        <v>0.83863636363636362</v>
      </c>
      <c r="F78" s="25" t="s">
        <v>9</v>
      </c>
      <c r="G78" s="53" t="s">
        <v>1834</v>
      </c>
      <c r="H78" s="53" t="s">
        <v>1777</v>
      </c>
    </row>
    <row r="79" spans="1:8" s="25" customFormat="1" x14ac:dyDescent="0.25">
      <c r="A79" s="18" t="s">
        <v>1108</v>
      </c>
      <c r="B79" s="53" t="s">
        <v>1235</v>
      </c>
      <c r="C79" s="53" t="s">
        <v>1190</v>
      </c>
      <c r="D79" s="25" t="s">
        <v>1234</v>
      </c>
      <c r="E79" s="71">
        <f>1120/5280</f>
        <v>0.21212121212121213</v>
      </c>
      <c r="F79" s="25" t="s">
        <v>13</v>
      </c>
      <c r="H79" s="53" t="s">
        <v>1777</v>
      </c>
    </row>
    <row r="80" spans="1:8" s="25" customFormat="1" x14ac:dyDescent="0.25">
      <c r="A80" s="18" t="s">
        <v>1108</v>
      </c>
      <c r="B80" s="53" t="s">
        <v>1236</v>
      </c>
      <c r="C80" s="53" t="s">
        <v>1190</v>
      </c>
      <c r="D80" s="25" t="s">
        <v>1234</v>
      </c>
      <c r="E80" s="71">
        <f>861/5280</f>
        <v>0.16306818181818181</v>
      </c>
      <c r="F80" s="25" t="s">
        <v>13</v>
      </c>
      <c r="G80" s="25" t="s">
        <v>1835</v>
      </c>
      <c r="H80" s="53" t="s">
        <v>1777</v>
      </c>
    </row>
    <row r="81" spans="1:8" s="25" customFormat="1" x14ac:dyDescent="0.25">
      <c r="A81" s="18" t="s">
        <v>1108</v>
      </c>
      <c r="B81" s="53" t="s">
        <v>1237</v>
      </c>
      <c r="C81" s="53" t="s">
        <v>1190</v>
      </c>
      <c r="D81" s="40" t="s">
        <v>5</v>
      </c>
      <c r="E81" s="71">
        <f>(719+1048)/5280</f>
        <v>0.33465909090909091</v>
      </c>
      <c r="F81" s="40" t="s">
        <v>8</v>
      </c>
      <c r="G81" s="40" t="s">
        <v>1836</v>
      </c>
      <c r="H81" s="53" t="s">
        <v>1777</v>
      </c>
    </row>
    <row r="82" spans="1:8" s="25" customFormat="1" x14ac:dyDescent="0.25">
      <c r="A82" s="18" t="s">
        <v>1108</v>
      </c>
      <c r="B82" s="54" t="s">
        <v>1847</v>
      </c>
      <c r="C82" s="53" t="s">
        <v>1190</v>
      </c>
      <c r="D82" s="40" t="s">
        <v>1234</v>
      </c>
      <c r="E82" s="71">
        <f>597/5280</f>
        <v>0.11306818181818182</v>
      </c>
      <c r="F82" s="40" t="s">
        <v>316</v>
      </c>
      <c r="G82" s="40" t="s">
        <v>1848</v>
      </c>
      <c r="H82" s="54" t="s">
        <v>1846</v>
      </c>
    </row>
    <row r="83" spans="1:8" s="25" customFormat="1" x14ac:dyDescent="0.25">
      <c r="A83" s="18" t="s">
        <v>1108</v>
      </c>
      <c r="B83" s="54" t="s">
        <v>1837</v>
      </c>
      <c r="C83" s="53" t="s">
        <v>1190</v>
      </c>
      <c r="D83" s="40" t="s">
        <v>1838</v>
      </c>
      <c r="E83" s="71">
        <f>640/5280</f>
        <v>0.12121212121212122</v>
      </c>
      <c r="F83" s="40" t="s">
        <v>13</v>
      </c>
      <c r="G83" s="40" t="s">
        <v>1839</v>
      </c>
      <c r="H83" s="54" t="s">
        <v>1840</v>
      </c>
    </row>
    <row r="84" spans="1:8" s="25" customFormat="1" x14ac:dyDescent="0.25">
      <c r="A84" s="18" t="s">
        <v>1108</v>
      </c>
      <c r="B84" s="54" t="s">
        <v>1841</v>
      </c>
      <c r="C84" s="53" t="s">
        <v>1190</v>
      </c>
      <c r="D84" s="40" t="s">
        <v>1234</v>
      </c>
      <c r="E84" s="71">
        <f>(2830+998)/5280</f>
        <v>0.72499999999999998</v>
      </c>
      <c r="F84" s="40" t="s">
        <v>1842</v>
      </c>
      <c r="G84" s="40" t="s">
        <v>1843</v>
      </c>
      <c r="H84" s="54" t="s">
        <v>1846</v>
      </c>
    </row>
    <row r="85" spans="1:8" s="25" customFormat="1" x14ac:dyDescent="0.25">
      <c r="A85" s="18" t="s">
        <v>1108</v>
      </c>
      <c r="B85" s="54" t="s">
        <v>1844</v>
      </c>
      <c r="C85" s="53" t="s">
        <v>1190</v>
      </c>
      <c r="D85" s="40" t="s">
        <v>1234</v>
      </c>
      <c r="E85" s="71">
        <f>959/5280</f>
        <v>0.18162878787878789</v>
      </c>
      <c r="F85" s="40" t="s">
        <v>232</v>
      </c>
      <c r="G85" s="40" t="s">
        <v>1845</v>
      </c>
      <c r="H85" s="54" t="s">
        <v>1846</v>
      </c>
    </row>
    <row r="86" spans="1:8" s="25" customFormat="1" x14ac:dyDescent="0.25">
      <c r="A86" s="18"/>
      <c r="E86" s="20"/>
    </row>
    <row r="87" spans="1:8" s="25" customFormat="1" x14ac:dyDescent="0.25">
      <c r="A87" s="18"/>
      <c r="D87" s="7" t="s">
        <v>11</v>
      </c>
      <c r="E87" s="65">
        <f>SUM(E2:E84)</f>
        <v>39.65946969696968</v>
      </c>
    </row>
    <row r="88" spans="1:8" s="25" customFormat="1" x14ac:dyDescent="0.25">
      <c r="A88" s="18"/>
      <c r="E88" s="85">
        <f>E87/88.29</f>
        <v>0.44919548869599818</v>
      </c>
    </row>
    <row r="89" spans="1:8" s="25" customFormat="1" x14ac:dyDescent="0.25">
      <c r="A89" s="18"/>
      <c r="E89" s="20"/>
    </row>
    <row r="90" spans="1:8" s="25" customFormat="1" x14ac:dyDescent="0.25">
      <c r="A90" s="72" t="s">
        <v>296</v>
      </c>
      <c r="B90" s="66" t="s">
        <v>1238</v>
      </c>
      <c r="E90" s="20"/>
    </row>
    <row r="91" spans="1:8" s="25" customFormat="1" x14ac:dyDescent="0.25">
      <c r="A91" s="72"/>
      <c r="B91" s="66" t="s">
        <v>1239</v>
      </c>
      <c r="E91" s="20"/>
    </row>
    <row r="92" spans="1:8" s="25" customFormat="1" x14ac:dyDescent="0.25">
      <c r="A92" s="18"/>
      <c r="B92" s="66" t="s">
        <v>2358</v>
      </c>
      <c r="E92" s="20"/>
    </row>
    <row r="93" spans="1:8" s="25" customFormat="1" x14ac:dyDescent="0.25">
      <c r="A93" s="18"/>
      <c r="B93" s="66" t="s">
        <v>2361</v>
      </c>
      <c r="E93" s="20"/>
    </row>
    <row r="94" spans="1:8" x14ac:dyDescent="0.25">
      <c r="B94" s="70" t="s">
        <v>2359</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workbookViewId="0"/>
  </sheetViews>
  <sheetFormatPr defaultRowHeight="15" x14ac:dyDescent="0.25"/>
  <cols>
    <col min="1" max="1" width="12.42578125" customWidth="1"/>
    <col min="2" max="2" width="46.85546875" customWidth="1"/>
    <col min="3" max="3" width="14" customWidth="1"/>
    <col min="4" max="4" width="32" customWidth="1"/>
    <col min="5" max="5" width="15.7109375" customWidth="1"/>
    <col min="6" max="6" width="49" customWidth="1"/>
    <col min="7" max="7" width="36.140625" customWidth="1"/>
    <col min="8" max="8" width="30.85546875" customWidth="1"/>
  </cols>
  <sheetData>
    <row r="1" spans="1:8" s="1" customFormat="1" ht="60" x14ac:dyDescent="0.25">
      <c r="A1" s="1" t="s">
        <v>0</v>
      </c>
      <c r="B1" s="1" t="s">
        <v>1</v>
      </c>
      <c r="C1" s="1" t="s">
        <v>4</v>
      </c>
      <c r="D1" s="1" t="s">
        <v>2</v>
      </c>
      <c r="E1" s="17" t="s">
        <v>1579</v>
      </c>
      <c r="F1" s="1" t="s">
        <v>7</v>
      </c>
      <c r="G1" s="45" t="s">
        <v>10</v>
      </c>
      <c r="H1" s="1" t="s">
        <v>3</v>
      </c>
    </row>
    <row r="2" spans="1:8" s="53" customFormat="1" x14ac:dyDescent="0.25">
      <c r="A2" s="18" t="s">
        <v>1240</v>
      </c>
      <c r="B2" s="53" t="s">
        <v>1241</v>
      </c>
      <c r="C2" s="53" t="s">
        <v>36</v>
      </c>
      <c r="D2" s="53" t="s">
        <v>1242</v>
      </c>
      <c r="E2" s="19">
        <v>3.83</v>
      </c>
      <c r="F2" s="53" t="s">
        <v>1243</v>
      </c>
      <c r="G2" s="53" t="s">
        <v>1244</v>
      </c>
      <c r="H2" s="54" t="s">
        <v>1245</v>
      </c>
    </row>
    <row r="3" spans="1:8" s="53" customFormat="1" x14ac:dyDescent="0.25">
      <c r="A3" s="18" t="s">
        <v>1240</v>
      </c>
      <c r="B3" s="53" t="s">
        <v>1246</v>
      </c>
      <c r="C3" s="53" t="s">
        <v>36</v>
      </c>
      <c r="D3" s="53" t="s">
        <v>35</v>
      </c>
      <c r="E3" s="31">
        <v>0.49</v>
      </c>
      <c r="F3" s="53" t="s">
        <v>9</v>
      </c>
      <c r="G3" s="53" t="s">
        <v>1247</v>
      </c>
      <c r="H3" s="54" t="s">
        <v>1245</v>
      </c>
    </row>
    <row r="4" spans="1:8" s="53" customFormat="1" x14ac:dyDescent="0.25">
      <c r="A4" s="18" t="s">
        <v>1240</v>
      </c>
      <c r="B4" s="53" t="s">
        <v>1248</v>
      </c>
      <c r="C4" s="53" t="s">
        <v>36</v>
      </c>
      <c r="D4" s="53" t="s">
        <v>1249</v>
      </c>
      <c r="E4" s="31">
        <f>456/5280</f>
        <v>8.6363636363636365E-2</v>
      </c>
      <c r="F4" s="53" t="s">
        <v>208</v>
      </c>
      <c r="H4" s="54" t="s">
        <v>1245</v>
      </c>
    </row>
    <row r="5" spans="1:8" s="53" customFormat="1" x14ac:dyDescent="0.25">
      <c r="A5" s="18" t="s">
        <v>1240</v>
      </c>
      <c r="B5" s="23" t="s">
        <v>1250</v>
      </c>
      <c r="C5" s="53" t="s">
        <v>36</v>
      </c>
      <c r="D5" s="23" t="s">
        <v>1251</v>
      </c>
      <c r="E5" s="31">
        <f>1538/5280</f>
        <v>0.29128787878787876</v>
      </c>
      <c r="F5" s="53" t="s">
        <v>316</v>
      </c>
      <c r="G5" s="53" t="s">
        <v>1252</v>
      </c>
      <c r="H5" s="54" t="s">
        <v>1245</v>
      </c>
    </row>
    <row r="6" spans="1:8" s="53" customFormat="1" x14ac:dyDescent="0.25">
      <c r="A6" s="18" t="s">
        <v>1240</v>
      </c>
      <c r="B6" s="23" t="s">
        <v>1253</v>
      </c>
      <c r="C6" s="53" t="s">
        <v>36</v>
      </c>
      <c r="D6" s="23" t="s">
        <v>1249</v>
      </c>
      <c r="E6" s="31">
        <f>318/5280</f>
        <v>6.0227272727272727E-2</v>
      </c>
      <c r="F6" s="53" t="s">
        <v>13</v>
      </c>
      <c r="H6" s="54" t="s">
        <v>1245</v>
      </c>
    </row>
    <row r="7" spans="1:8" s="53" customFormat="1" x14ac:dyDescent="0.25">
      <c r="A7" s="18" t="s">
        <v>1240</v>
      </c>
      <c r="B7" s="23" t="s">
        <v>1254</v>
      </c>
      <c r="C7" s="53" t="s">
        <v>36</v>
      </c>
      <c r="D7" s="23" t="s">
        <v>1249</v>
      </c>
      <c r="E7" s="31">
        <f>(618+954)/5280</f>
        <v>0.29772727272727273</v>
      </c>
      <c r="F7" s="53" t="s">
        <v>1620</v>
      </c>
      <c r="G7" s="53" t="s">
        <v>1255</v>
      </c>
      <c r="H7" s="54" t="s">
        <v>1245</v>
      </c>
    </row>
    <row r="8" spans="1:8" s="53" customFormat="1" x14ac:dyDescent="0.25">
      <c r="A8" s="18" t="s">
        <v>1240</v>
      </c>
      <c r="B8" s="53" t="s">
        <v>1256</v>
      </c>
      <c r="C8" s="53" t="s">
        <v>36</v>
      </c>
      <c r="D8" s="53" t="s">
        <v>35</v>
      </c>
      <c r="E8" s="31">
        <f>(2066)/5280</f>
        <v>0.3912878787878788</v>
      </c>
      <c r="F8" s="53" t="s">
        <v>9</v>
      </c>
      <c r="H8" s="54" t="s">
        <v>1245</v>
      </c>
    </row>
    <row r="9" spans="1:8" s="53" customFormat="1" x14ac:dyDescent="0.25">
      <c r="A9" s="18" t="s">
        <v>1240</v>
      </c>
      <c r="B9" s="53" t="s">
        <v>1051</v>
      </c>
      <c r="C9" s="53" t="s">
        <v>36</v>
      </c>
      <c r="D9" s="53" t="s">
        <v>1257</v>
      </c>
      <c r="E9" s="31">
        <f>979/5280</f>
        <v>0.18541666666666667</v>
      </c>
      <c r="F9" s="53" t="s">
        <v>232</v>
      </c>
      <c r="G9" s="53" t="s">
        <v>1258</v>
      </c>
      <c r="H9" s="54" t="s">
        <v>1245</v>
      </c>
    </row>
    <row r="10" spans="1:8" s="53" customFormat="1" x14ac:dyDescent="0.25">
      <c r="A10" s="18" t="s">
        <v>1240</v>
      </c>
      <c r="B10" s="53" t="s">
        <v>1259</v>
      </c>
      <c r="C10" s="53" t="s">
        <v>36</v>
      </c>
      <c r="D10" s="53" t="s">
        <v>1249</v>
      </c>
      <c r="E10" s="31">
        <f>276/5280</f>
        <v>5.2272727272727269E-2</v>
      </c>
      <c r="F10" s="53" t="s">
        <v>208</v>
      </c>
      <c r="H10" s="54" t="s">
        <v>1245</v>
      </c>
    </row>
    <row r="11" spans="1:8" s="53" customFormat="1" x14ac:dyDescent="0.25">
      <c r="A11" s="18" t="s">
        <v>1240</v>
      </c>
      <c r="B11" s="53" t="s">
        <v>1260</v>
      </c>
      <c r="C11" s="53" t="s">
        <v>36</v>
      </c>
      <c r="D11" s="53" t="s">
        <v>1261</v>
      </c>
      <c r="E11" s="31">
        <v>0.17</v>
      </c>
      <c r="F11" s="53" t="s">
        <v>9</v>
      </c>
      <c r="G11" s="53" t="s">
        <v>1262</v>
      </c>
      <c r="H11" s="54" t="s">
        <v>1245</v>
      </c>
    </row>
    <row r="12" spans="1:8" s="53" customFormat="1" x14ac:dyDescent="0.25">
      <c r="A12" s="18" t="s">
        <v>1240</v>
      </c>
      <c r="B12" s="53" t="s">
        <v>1263</v>
      </c>
      <c r="C12" s="53" t="s">
        <v>36</v>
      </c>
      <c r="D12" s="53" t="s">
        <v>1257</v>
      </c>
      <c r="E12" s="31">
        <f>331/5280</f>
        <v>6.2689393939393934E-2</v>
      </c>
      <c r="F12" s="53" t="s">
        <v>232</v>
      </c>
      <c r="G12" s="53" t="s">
        <v>1264</v>
      </c>
      <c r="H12" s="54" t="s">
        <v>1245</v>
      </c>
    </row>
    <row r="13" spans="1:8" s="53" customFormat="1" x14ac:dyDescent="0.25">
      <c r="A13" s="18" t="s">
        <v>1240</v>
      </c>
      <c r="B13" s="53" t="s">
        <v>1265</v>
      </c>
      <c r="C13" s="53" t="s">
        <v>36</v>
      </c>
      <c r="D13" s="53" t="s">
        <v>1257</v>
      </c>
      <c r="E13" s="31">
        <f>636/5280</f>
        <v>0.12045454545454545</v>
      </c>
      <c r="F13" s="53" t="s">
        <v>232</v>
      </c>
      <c r="G13" s="53" t="s">
        <v>1264</v>
      </c>
      <c r="H13" s="54" t="s">
        <v>1245</v>
      </c>
    </row>
    <row r="14" spans="1:8" s="53" customFormat="1" x14ac:dyDescent="0.25">
      <c r="A14" s="18" t="s">
        <v>1240</v>
      </c>
      <c r="B14" s="53" t="s">
        <v>1266</v>
      </c>
      <c r="C14" s="53" t="s">
        <v>36</v>
      </c>
      <c r="D14" s="53" t="s">
        <v>35</v>
      </c>
      <c r="E14" s="71">
        <f>932/5280</f>
        <v>0.17651515151515151</v>
      </c>
      <c r="F14" s="23" t="s">
        <v>1267</v>
      </c>
      <c r="H14" s="54" t="s">
        <v>1245</v>
      </c>
    </row>
    <row r="15" spans="1:8" s="53" customFormat="1" x14ac:dyDescent="0.25">
      <c r="A15" s="18" t="s">
        <v>1240</v>
      </c>
      <c r="B15" s="54" t="s">
        <v>1268</v>
      </c>
      <c r="C15" s="53" t="s">
        <v>36</v>
      </c>
      <c r="D15" s="53" t="s">
        <v>1269</v>
      </c>
      <c r="E15" s="71">
        <v>0.27</v>
      </c>
      <c r="F15" s="23" t="s">
        <v>1270</v>
      </c>
      <c r="G15" s="53" t="s">
        <v>1271</v>
      </c>
      <c r="H15" s="54" t="s">
        <v>1272</v>
      </c>
    </row>
    <row r="16" spans="1:8" s="53" customFormat="1" x14ac:dyDescent="0.25">
      <c r="A16" s="18" t="s">
        <v>1240</v>
      </c>
      <c r="B16" s="53" t="s">
        <v>1273</v>
      </c>
      <c r="C16" s="53" t="s">
        <v>36</v>
      </c>
      <c r="D16" s="53" t="s">
        <v>35</v>
      </c>
      <c r="E16" s="71">
        <v>0.43</v>
      </c>
      <c r="F16" s="23" t="s">
        <v>219</v>
      </c>
      <c r="G16" s="53" t="s">
        <v>1274</v>
      </c>
      <c r="H16" s="54" t="s">
        <v>1245</v>
      </c>
    </row>
    <row r="17" spans="1:8" s="53" customFormat="1" x14ac:dyDescent="0.25">
      <c r="A17" s="18" t="s">
        <v>1240</v>
      </c>
      <c r="B17" s="4" t="s">
        <v>1275</v>
      </c>
      <c r="C17" s="53" t="s">
        <v>36</v>
      </c>
      <c r="D17" s="53" t="s">
        <v>1257</v>
      </c>
      <c r="E17" s="31">
        <f>555/5280</f>
        <v>0.10511363636363637</v>
      </c>
      <c r="F17" s="53" t="s">
        <v>232</v>
      </c>
      <c r="G17" s="53" t="s">
        <v>1276</v>
      </c>
      <c r="H17" s="54" t="s">
        <v>1245</v>
      </c>
    </row>
    <row r="18" spans="1:8" s="53" customFormat="1" x14ac:dyDescent="0.25">
      <c r="A18" s="18" t="s">
        <v>1240</v>
      </c>
      <c r="B18" s="4" t="s">
        <v>1277</v>
      </c>
      <c r="C18" s="53" t="s">
        <v>36</v>
      </c>
      <c r="D18" s="53" t="s">
        <v>1249</v>
      </c>
      <c r="E18" s="31">
        <f>462/5280</f>
        <v>8.7499999999999994E-2</v>
      </c>
      <c r="F18" s="23" t="s">
        <v>208</v>
      </c>
      <c r="H18" s="54" t="s">
        <v>1245</v>
      </c>
    </row>
    <row r="19" spans="1:8" s="53" customFormat="1" x14ac:dyDescent="0.25">
      <c r="A19" s="18" t="s">
        <v>1240</v>
      </c>
      <c r="B19" s="4" t="s">
        <v>1278</v>
      </c>
      <c r="C19" s="53" t="s">
        <v>36</v>
      </c>
      <c r="D19" s="53" t="s">
        <v>1279</v>
      </c>
      <c r="E19" s="71">
        <f>1922/5280</f>
        <v>0.36401515151515151</v>
      </c>
      <c r="F19" s="23" t="s">
        <v>9</v>
      </c>
      <c r="G19" s="53" t="s">
        <v>1280</v>
      </c>
      <c r="H19" s="54" t="s">
        <v>1245</v>
      </c>
    </row>
    <row r="20" spans="1:8" s="53" customFormat="1" x14ac:dyDescent="0.25">
      <c r="A20" s="18" t="s">
        <v>1240</v>
      </c>
      <c r="B20" s="4" t="s">
        <v>1621</v>
      </c>
      <c r="C20" s="53" t="s">
        <v>36</v>
      </c>
      <c r="D20" s="53" t="s">
        <v>1279</v>
      </c>
      <c r="E20" s="31">
        <f>1077/5280</f>
        <v>0.20397727272727273</v>
      </c>
      <c r="F20" s="23" t="s">
        <v>9</v>
      </c>
      <c r="G20" s="53" t="s">
        <v>1281</v>
      </c>
      <c r="H20" s="54" t="s">
        <v>1245</v>
      </c>
    </row>
    <row r="21" spans="1:8" s="53" customFormat="1" x14ac:dyDescent="0.25">
      <c r="A21" s="18" t="s">
        <v>1240</v>
      </c>
      <c r="B21" s="53" t="s">
        <v>1282</v>
      </c>
      <c r="C21" s="53" t="s">
        <v>36</v>
      </c>
      <c r="D21" s="53" t="s">
        <v>119</v>
      </c>
      <c r="E21" s="31">
        <f>5726/5280</f>
        <v>1.084469696969697</v>
      </c>
      <c r="F21" s="23" t="s">
        <v>1283</v>
      </c>
      <c r="G21" s="53" t="s">
        <v>1284</v>
      </c>
      <c r="H21" s="54" t="s">
        <v>1285</v>
      </c>
    </row>
    <row r="22" spans="1:8" s="53" customFormat="1" x14ac:dyDescent="0.25">
      <c r="A22" s="18" t="s">
        <v>1240</v>
      </c>
      <c r="B22" s="53" t="s">
        <v>1286</v>
      </c>
      <c r="C22" s="53" t="s">
        <v>36</v>
      </c>
      <c r="D22" s="53" t="s">
        <v>1287</v>
      </c>
      <c r="E22" s="31">
        <f>844/5280</f>
        <v>0.15984848484848485</v>
      </c>
      <c r="F22" s="23" t="s">
        <v>1288</v>
      </c>
      <c r="G22" s="53" t="s">
        <v>1289</v>
      </c>
      <c r="H22" s="54" t="s">
        <v>1245</v>
      </c>
    </row>
    <row r="23" spans="1:8" s="53" customFormat="1" x14ac:dyDescent="0.25">
      <c r="A23" s="18" t="s">
        <v>1240</v>
      </c>
      <c r="B23" s="4" t="s">
        <v>1290</v>
      </c>
      <c r="C23" s="53" t="s">
        <v>36</v>
      </c>
      <c r="D23" s="53" t="s">
        <v>1249</v>
      </c>
      <c r="E23" s="31">
        <f>629/5280</f>
        <v>0.11912878787878788</v>
      </c>
      <c r="F23" s="23" t="s">
        <v>13</v>
      </c>
      <c r="H23" s="54" t="s">
        <v>1245</v>
      </c>
    </row>
    <row r="24" spans="1:8" s="53" customFormat="1" x14ac:dyDescent="0.25">
      <c r="A24" s="18" t="s">
        <v>1240</v>
      </c>
      <c r="B24" s="4" t="s">
        <v>1291</v>
      </c>
      <c r="C24" s="53" t="s">
        <v>36</v>
      </c>
      <c r="D24" s="53" t="s">
        <v>1249</v>
      </c>
      <c r="E24" s="31">
        <f>868/5280</f>
        <v>0.1643939393939394</v>
      </c>
      <c r="F24" s="23" t="s">
        <v>13</v>
      </c>
      <c r="H24" s="54" t="s">
        <v>1245</v>
      </c>
    </row>
    <row r="25" spans="1:8" s="53" customFormat="1" x14ac:dyDescent="0.25">
      <c r="A25" s="18" t="s">
        <v>1240</v>
      </c>
      <c r="B25" s="4" t="s">
        <v>1292</v>
      </c>
      <c r="C25" s="53" t="s">
        <v>36</v>
      </c>
      <c r="D25" s="53" t="s">
        <v>1249</v>
      </c>
      <c r="E25" s="31">
        <f>(1276)/5280</f>
        <v>0.24166666666666667</v>
      </c>
      <c r="F25" s="23" t="s">
        <v>13</v>
      </c>
      <c r="H25" s="54" t="s">
        <v>1245</v>
      </c>
    </row>
    <row r="26" spans="1:8" s="53" customFormat="1" x14ac:dyDescent="0.25">
      <c r="A26" s="18" t="s">
        <v>1240</v>
      </c>
      <c r="B26" s="53" t="s">
        <v>1293</v>
      </c>
      <c r="C26" s="53" t="s">
        <v>36</v>
      </c>
      <c r="D26" s="53" t="s">
        <v>1287</v>
      </c>
      <c r="E26" s="31">
        <f>292/5280</f>
        <v>5.5303030303030305E-2</v>
      </c>
      <c r="F26" s="23" t="s">
        <v>232</v>
      </c>
      <c r="G26" s="53" t="s">
        <v>1294</v>
      </c>
      <c r="H26" s="54" t="s">
        <v>1245</v>
      </c>
    </row>
    <row r="27" spans="1:8" s="53" customFormat="1" x14ac:dyDescent="0.25">
      <c r="A27" s="18" t="s">
        <v>1240</v>
      </c>
      <c r="B27" s="4" t="s">
        <v>1295</v>
      </c>
      <c r="C27" s="53" t="s">
        <v>36</v>
      </c>
      <c r="D27" s="53" t="s">
        <v>1249</v>
      </c>
      <c r="E27" s="31">
        <f>566/5280</f>
        <v>0.10719696969696969</v>
      </c>
      <c r="F27" s="23" t="s">
        <v>13</v>
      </c>
      <c r="G27" s="53" t="s">
        <v>1296</v>
      </c>
      <c r="H27" s="54" t="s">
        <v>1245</v>
      </c>
    </row>
    <row r="28" spans="1:8" s="53" customFormat="1" x14ac:dyDescent="0.25">
      <c r="A28" s="18" t="s">
        <v>1240</v>
      </c>
      <c r="B28" s="53" t="s">
        <v>1297</v>
      </c>
      <c r="C28" s="53" t="s">
        <v>36</v>
      </c>
      <c r="D28" s="53" t="s">
        <v>119</v>
      </c>
      <c r="E28" s="31">
        <f>(879+892)/5280</f>
        <v>0.33541666666666664</v>
      </c>
      <c r="F28" s="23" t="s">
        <v>13</v>
      </c>
      <c r="G28" s="53" t="s">
        <v>1298</v>
      </c>
      <c r="H28" s="54" t="s">
        <v>1245</v>
      </c>
    </row>
    <row r="29" spans="1:8" s="53" customFormat="1" x14ac:dyDescent="0.25">
      <c r="A29" s="18" t="s">
        <v>1240</v>
      </c>
      <c r="B29" s="53" t="s">
        <v>1299</v>
      </c>
      <c r="C29" s="53" t="s">
        <v>36</v>
      </c>
      <c r="D29" s="53" t="s">
        <v>119</v>
      </c>
      <c r="E29" s="71">
        <f>7896/5280</f>
        <v>1.4954545454545454</v>
      </c>
      <c r="F29" s="23" t="s">
        <v>28</v>
      </c>
      <c r="G29" s="53" t="s">
        <v>1300</v>
      </c>
      <c r="H29" s="54" t="s">
        <v>1245</v>
      </c>
    </row>
    <row r="30" spans="1:8" s="53" customFormat="1" x14ac:dyDescent="0.25">
      <c r="A30" s="18" t="s">
        <v>1240</v>
      </c>
      <c r="B30" s="53" t="s">
        <v>1301</v>
      </c>
      <c r="C30" s="53" t="s">
        <v>36</v>
      </c>
      <c r="D30" s="53" t="s">
        <v>1287</v>
      </c>
      <c r="E30" s="71">
        <f>256/5280</f>
        <v>4.8484848484848485E-2</v>
      </c>
      <c r="F30" s="23" t="s">
        <v>232</v>
      </c>
      <c r="G30" s="53" t="s">
        <v>1302</v>
      </c>
      <c r="H30" s="54" t="s">
        <v>1245</v>
      </c>
    </row>
    <row r="31" spans="1:8" s="23" customFormat="1" x14ac:dyDescent="0.25">
      <c r="A31" s="11" t="s">
        <v>1240</v>
      </c>
      <c r="B31" s="23" t="s">
        <v>1303</v>
      </c>
      <c r="C31" s="23" t="s">
        <v>36</v>
      </c>
      <c r="D31" s="23" t="s">
        <v>89</v>
      </c>
      <c r="E31" s="71">
        <f>4050/5280</f>
        <v>0.76704545454545459</v>
      </c>
      <c r="F31" s="23" t="s">
        <v>154</v>
      </c>
      <c r="G31" s="23" t="s">
        <v>1304</v>
      </c>
      <c r="H31" s="54" t="s">
        <v>1245</v>
      </c>
    </row>
    <row r="32" spans="1:8" s="53" customFormat="1" x14ac:dyDescent="0.25">
      <c r="A32" s="18" t="s">
        <v>1240</v>
      </c>
      <c r="B32" s="4" t="s">
        <v>1305</v>
      </c>
      <c r="C32" s="53" t="s">
        <v>36</v>
      </c>
      <c r="D32" s="53" t="s">
        <v>35</v>
      </c>
      <c r="E32" s="31">
        <f>1356/5280</f>
        <v>0.25681818181818183</v>
      </c>
      <c r="F32" s="23" t="s">
        <v>2060</v>
      </c>
      <c r="H32" s="54" t="s">
        <v>1245</v>
      </c>
    </row>
    <row r="33" spans="1:8" s="53" customFormat="1" x14ac:dyDescent="0.25">
      <c r="A33" s="18" t="s">
        <v>1240</v>
      </c>
      <c r="B33" s="4" t="s">
        <v>1306</v>
      </c>
      <c r="C33" s="53" t="s">
        <v>36</v>
      </c>
      <c r="D33" s="23" t="s">
        <v>89</v>
      </c>
      <c r="E33" s="31">
        <f>(4445)/5280</f>
        <v>0.84185606060606055</v>
      </c>
      <c r="F33" s="53" t="s">
        <v>232</v>
      </c>
      <c r="G33" s="54" t="s">
        <v>1307</v>
      </c>
      <c r="H33" s="54" t="s">
        <v>1245</v>
      </c>
    </row>
    <row r="34" spans="1:8" s="53" customFormat="1" x14ac:dyDescent="0.25">
      <c r="A34" s="18" t="s">
        <v>1240</v>
      </c>
      <c r="B34" s="4" t="s">
        <v>1308</v>
      </c>
      <c r="C34" s="53" t="s">
        <v>36</v>
      </c>
      <c r="D34" s="23" t="s">
        <v>1309</v>
      </c>
      <c r="E34" s="31">
        <f>(1044+2714+613)/5280</f>
        <v>0.82784090909090913</v>
      </c>
      <c r="F34" s="53" t="s">
        <v>232</v>
      </c>
      <c r="G34" s="54" t="s">
        <v>1310</v>
      </c>
      <c r="H34" s="54" t="s">
        <v>1245</v>
      </c>
    </row>
    <row r="35" spans="1:8" s="53" customFormat="1" x14ac:dyDescent="0.25">
      <c r="A35" s="18" t="s">
        <v>1240</v>
      </c>
      <c r="B35" s="4" t="s">
        <v>1311</v>
      </c>
      <c r="C35" s="53" t="s">
        <v>36</v>
      </c>
      <c r="D35" s="23" t="s">
        <v>35</v>
      </c>
      <c r="E35" s="31">
        <f>5304/5280</f>
        <v>1.0045454545454546</v>
      </c>
      <c r="F35" s="53" t="s">
        <v>219</v>
      </c>
      <c r="G35" s="54" t="s">
        <v>1312</v>
      </c>
      <c r="H35" s="54" t="s">
        <v>1245</v>
      </c>
    </row>
    <row r="36" spans="1:8" s="23" customFormat="1" x14ac:dyDescent="0.25">
      <c r="A36" s="11" t="s">
        <v>1240</v>
      </c>
      <c r="B36" s="4" t="s">
        <v>1313</v>
      </c>
      <c r="C36" s="23" t="s">
        <v>36</v>
      </c>
      <c r="D36" s="23" t="s">
        <v>1314</v>
      </c>
      <c r="E36" s="71">
        <f>6730/5280</f>
        <v>1.2746212121212122</v>
      </c>
      <c r="F36" s="23" t="s">
        <v>219</v>
      </c>
      <c r="G36" s="23" t="s">
        <v>1315</v>
      </c>
      <c r="H36" s="54" t="s">
        <v>1245</v>
      </c>
    </row>
    <row r="37" spans="1:8" s="53" customFormat="1" x14ac:dyDescent="0.25">
      <c r="A37" s="18" t="s">
        <v>1240</v>
      </c>
      <c r="B37" s="4" t="s">
        <v>1316</v>
      </c>
      <c r="C37" s="53" t="s">
        <v>36</v>
      </c>
      <c r="D37" s="53" t="s">
        <v>1317</v>
      </c>
      <c r="E37" s="31">
        <f>(2601-55)/5280</f>
        <v>0.48219696969696968</v>
      </c>
      <c r="F37" s="53" t="s">
        <v>1318</v>
      </c>
      <c r="G37" s="53" t="s">
        <v>1319</v>
      </c>
      <c r="H37" s="53" t="s">
        <v>1320</v>
      </c>
    </row>
    <row r="38" spans="1:8" s="53" customFormat="1" x14ac:dyDescent="0.25">
      <c r="A38" s="18" t="s">
        <v>1240</v>
      </c>
      <c r="B38" s="4" t="s">
        <v>1321</v>
      </c>
      <c r="C38" s="53" t="s">
        <v>36</v>
      </c>
      <c r="D38" s="23" t="s">
        <v>89</v>
      </c>
      <c r="E38" s="31">
        <f>(1479+5608)/5280</f>
        <v>1.3422348484848485</v>
      </c>
      <c r="F38" s="53" t="s">
        <v>316</v>
      </c>
      <c r="G38" s="53" t="s">
        <v>1322</v>
      </c>
      <c r="H38" s="54" t="s">
        <v>1245</v>
      </c>
    </row>
    <row r="39" spans="1:8" s="53" customFormat="1" x14ac:dyDescent="0.25">
      <c r="A39" s="18" t="s">
        <v>1240</v>
      </c>
      <c r="B39" s="53" t="s">
        <v>1323</v>
      </c>
      <c r="C39" s="53" t="s">
        <v>36</v>
      </c>
      <c r="D39" s="53" t="s">
        <v>1324</v>
      </c>
      <c r="E39" s="31">
        <f>2520/5280</f>
        <v>0.47727272727272729</v>
      </c>
      <c r="F39" s="53" t="s">
        <v>13</v>
      </c>
      <c r="H39" s="54" t="s">
        <v>1245</v>
      </c>
    </row>
    <row r="40" spans="1:8" s="53" customFormat="1" x14ac:dyDescent="0.25">
      <c r="A40" s="18" t="s">
        <v>1240</v>
      </c>
      <c r="B40" s="4" t="s">
        <v>1325</v>
      </c>
      <c r="C40" s="53" t="s">
        <v>36</v>
      </c>
      <c r="D40" s="23" t="s">
        <v>1326</v>
      </c>
      <c r="E40" s="31">
        <f>542/5280</f>
        <v>0.10265151515151515</v>
      </c>
      <c r="F40" s="53" t="s">
        <v>232</v>
      </c>
      <c r="G40" s="53" t="s">
        <v>1327</v>
      </c>
      <c r="H40" s="54" t="s">
        <v>1245</v>
      </c>
    </row>
    <row r="41" spans="1:8" s="53" customFormat="1" x14ac:dyDescent="0.25">
      <c r="A41" s="18" t="s">
        <v>1240</v>
      </c>
      <c r="B41" s="4" t="s">
        <v>1328</v>
      </c>
      <c r="C41" s="53" t="s">
        <v>36</v>
      </c>
      <c r="D41" s="23" t="s">
        <v>1326</v>
      </c>
      <c r="E41" s="31">
        <f>3447/5280</f>
        <v>0.65284090909090908</v>
      </c>
      <c r="F41" s="23" t="s">
        <v>232</v>
      </c>
      <c r="G41" s="53" t="s">
        <v>1329</v>
      </c>
      <c r="H41" s="54" t="s">
        <v>1245</v>
      </c>
    </row>
    <row r="42" spans="1:8" s="53" customFormat="1" x14ac:dyDescent="0.25">
      <c r="A42" s="18" t="s">
        <v>1240</v>
      </c>
      <c r="B42" s="4" t="s">
        <v>1330</v>
      </c>
      <c r="C42" s="53" t="s">
        <v>36</v>
      </c>
      <c r="D42" s="53" t="s">
        <v>17</v>
      </c>
      <c r="E42" s="31">
        <f>2054/5280</f>
        <v>0.38901515151515154</v>
      </c>
      <c r="F42" s="23" t="s">
        <v>13</v>
      </c>
      <c r="G42" s="53" t="s">
        <v>1331</v>
      </c>
      <c r="H42" s="54" t="s">
        <v>1245</v>
      </c>
    </row>
    <row r="43" spans="1:8" s="53" customFormat="1" x14ac:dyDescent="0.25">
      <c r="A43" s="18" t="s">
        <v>1240</v>
      </c>
      <c r="B43" s="53" t="s">
        <v>410</v>
      </c>
      <c r="C43" s="53" t="s">
        <v>36</v>
      </c>
      <c r="D43" s="53" t="s">
        <v>1324</v>
      </c>
      <c r="E43" s="31">
        <f>3605/5280</f>
        <v>0.68276515151515149</v>
      </c>
      <c r="F43" s="53" t="s">
        <v>232</v>
      </c>
      <c r="H43" s="54" t="s">
        <v>1245</v>
      </c>
    </row>
    <row r="44" spans="1:8" s="53" customFormat="1" x14ac:dyDescent="0.25">
      <c r="A44" s="18" t="s">
        <v>1240</v>
      </c>
      <c r="B44" s="53" t="s">
        <v>1332</v>
      </c>
      <c r="C44" s="53" t="s">
        <v>36</v>
      </c>
      <c r="D44" s="53" t="s">
        <v>119</v>
      </c>
      <c r="E44" s="31">
        <f>(9519+3302)/5280</f>
        <v>2.428219696969697</v>
      </c>
      <c r="F44" s="53" t="s">
        <v>28</v>
      </c>
      <c r="G44" s="53" t="s">
        <v>1333</v>
      </c>
      <c r="H44" s="54" t="s">
        <v>1245</v>
      </c>
    </row>
    <row r="45" spans="1:8" s="53" customFormat="1" x14ac:dyDescent="0.25">
      <c r="A45" s="18" t="s">
        <v>1240</v>
      </c>
      <c r="B45" s="23" t="s">
        <v>1334</v>
      </c>
      <c r="C45" s="53" t="s">
        <v>36</v>
      </c>
      <c r="D45" s="53" t="s">
        <v>1326</v>
      </c>
      <c r="E45" s="31">
        <f>1078/5280</f>
        <v>0.20416666666666666</v>
      </c>
      <c r="F45" s="53" t="s">
        <v>232</v>
      </c>
      <c r="G45" s="53" t="s">
        <v>1335</v>
      </c>
      <c r="H45" s="54" t="s">
        <v>1245</v>
      </c>
    </row>
    <row r="46" spans="1:8" s="23" customFormat="1" x14ac:dyDescent="0.25">
      <c r="A46" s="11" t="s">
        <v>1240</v>
      </c>
      <c r="B46" s="23" t="s">
        <v>1336</v>
      </c>
      <c r="C46" s="23" t="s">
        <v>36</v>
      </c>
      <c r="D46" s="23" t="s">
        <v>1337</v>
      </c>
      <c r="E46" s="71">
        <f>1676/5280</f>
        <v>0.31742424242424244</v>
      </c>
      <c r="F46" s="23" t="s">
        <v>232</v>
      </c>
      <c r="G46" s="23" t="s">
        <v>1338</v>
      </c>
      <c r="H46" s="54" t="s">
        <v>1245</v>
      </c>
    </row>
    <row r="47" spans="1:8" s="53" customFormat="1" x14ac:dyDescent="0.25">
      <c r="A47" s="18" t="s">
        <v>1240</v>
      </c>
      <c r="B47" s="23" t="s">
        <v>1339</v>
      </c>
      <c r="C47" s="53" t="s">
        <v>36</v>
      </c>
      <c r="D47" s="53" t="s">
        <v>1337</v>
      </c>
      <c r="E47" s="71">
        <f>909/5280</f>
        <v>0.1721590909090909</v>
      </c>
      <c r="F47" s="23" t="s">
        <v>13</v>
      </c>
      <c r="H47" s="54" t="s">
        <v>1245</v>
      </c>
    </row>
    <row r="48" spans="1:8" s="53" customFormat="1" x14ac:dyDescent="0.25">
      <c r="A48" s="18" t="s">
        <v>1240</v>
      </c>
      <c r="B48" s="53" t="s">
        <v>1340</v>
      </c>
      <c r="C48" s="53" t="s">
        <v>36</v>
      </c>
      <c r="D48" s="53" t="s">
        <v>1337</v>
      </c>
      <c r="E48" s="31">
        <f>1092/5280</f>
        <v>0.20681818181818182</v>
      </c>
      <c r="F48" s="53" t="s">
        <v>232</v>
      </c>
      <c r="G48" s="53" t="s">
        <v>1341</v>
      </c>
      <c r="H48" s="54" t="s">
        <v>1245</v>
      </c>
    </row>
    <row r="49" spans="1:8" s="53" customFormat="1" x14ac:dyDescent="0.25">
      <c r="A49" s="18" t="s">
        <v>1240</v>
      </c>
      <c r="B49" s="53" t="s">
        <v>1342</v>
      </c>
      <c r="C49" s="53" t="s">
        <v>36</v>
      </c>
      <c r="D49" s="53" t="s">
        <v>1337</v>
      </c>
      <c r="E49" s="31">
        <f>381/5280</f>
        <v>7.2159090909090909E-2</v>
      </c>
      <c r="F49" s="53" t="s">
        <v>219</v>
      </c>
      <c r="G49" s="53" t="s">
        <v>1343</v>
      </c>
      <c r="H49" s="54" t="s">
        <v>1245</v>
      </c>
    </row>
    <row r="50" spans="1:8" s="53" customFormat="1" x14ac:dyDescent="0.25">
      <c r="A50" s="18" t="s">
        <v>1240</v>
      </c>
      <c r="B50" s="53" t="s">
        <v>1344</v>
      </c>
      <c r="C50" s="53" t="s">
        <v>36</v>
      </c>
      <c r="D50" s="53" t="s">
        <v>1337</v>
      </c>
      <c r="E50" s="31">
        <f>670/5280</f>
        <v>0.12689393939393939</v>
      </c>
      <c r="F50" s="53" t="s">
        <v>232</v>
      </c>
      <c r="G50" s="53" t="s">
        <v>1345</v>
      </c>
      <c r="H50" s="54" t="s">
        <v>1245</v>
      </c>
    </row>
    <row r="51" spans="1:8" s="53" customFormat="1" x14ac:dyDescent="0.25">
      <c r="A51" s="18" t="s">
        <v>1240</v>
      </c>
      <c r="B51" s="53" t="s">
        <v>1346</v>
      </c>
      <c r="C51" s="53" t="s">
        <v>36</v>
      </c>
      <c r="D51" s="53" t="s">
        <v>1347</v>
      </c>
      <c r="E51" s="31">
        <f>(3680+937)/5280</f>
        <v>0.87443181818181814</v>
      </c>
      <c r="F51" s="53" t="s">
        <v>1348</v>
      </c>
      <c r="G51" s="53" t="s">
        <v>1349</v>
      </c>
      <c r="H51" s="54" t="s">
        <v>1245</v>
      </c>
    </row>
    <row r="52" spans="1:8" s="53" customFormat="1" x14ac:dyDescent="0.25">
      <c r="A52" s="18" t="s">
        <v>1240</v>
      </c>
      <c r="B52" s="53" t="s">
        <v>1350</v>
      </c>
      <c r="C52" s="53" t="s">
        <v>36</v>
      </c>
      <c r="D52" s="53" t="s">
        <v>1337</v>
      </c>
      <c r="E52" s="31">
        <f>6103/5280</f>
        <v>1.155871212121212</v>
      </c>
      <c r="F52" s="53" t="s">
        <v>316</v>
      </c>
      <c r="G52" s="53" t="s">
        <v>1351</v>
      </c>
      <c r="H52" s="54" t="s">
        <v>1245</v>
      </c>
    </row>
    <row r="53" spans="1:8" s="53" customFormat="1" x14ac:dyDescent="0.25">
      <c r="A53" s="18" t="s">
        <v>1240</v>
      </c>
      <c r="B53" s="53" t="s">
        <v>1352</v>
      </c>
      <c r="C53" s="53" t="s">
        <v>36</v>
      </c>
      <c r="D53" s="53" t="s">
        <v>1337</v>
      </c>
      <c r="E53" s="31">
        <f>358/5280</f>
        <v>6.7803030303030309E-2</v>
      </c>
      <c r="F53" s="53" t="s">
        <v>9</v>
      </c>
      <c r="G53" s="53" t="s">
        <v>1353</v>
      </c>
      <c r="H53" s="54" t="s">
        <v>1245</v>
      </c>
    </row>
    <row r="54" spans="1:8" s="53" customFormat="1" x14ac:dyDescent="0.25">
      <c r="A54" s="18" t="s">
        <v>1240</v>
      </c>
      <c r="B54" s="23" t="s">
        <v>1354</v>
      </c>
      <c r="C54" s="53" t="s">
        <v>36</v>
      </c>
      <c r="D54" s="23" t="s">
        <v>1355</v>
      </c>
      <c r="E54" s="71">
        <f>(7441-554)/5280-0.5</f>
        <v>0.80435606060606069</v>
      </c>
      <c r="F54" s="53" t="s">
        <v>219</v>
      </c>
      <c r="H54" s="54" t="s">
        <v>1245</v>
      </c>
    </row>
    <row r="55" spans="1:8" s="53" customFormat="1" x14ac:dyDescent="0.25">
      <c r="A55" s="18" t="s">
        <v>1240</v>
      </c>
      <c r="B55" s="53" t="s">
        <v>1356</v>
      </c>
      <c r="C55" s="53" t="s">
        <v>36</v>
      </c>
      <c r="D55" s="53" t="s">
        <v>5</v>
      </c>
      <c r="E55" s="31">
        <v>0.5</v>
      </c>
      <c r="F55" s="53" t="s">
        <v>8</v>
      </c>
      <c r="H55" s="53" t="s">
        <v>1357</v>
      </c>
    </row>
    <row r="56" spans="1:8" s="53" customFormat="1" x14ac:dyDescent="0.25">
      <c r="A56" s="18" t="s">
        <v>1240</v>
      </c>
      <c r="B56" s="53" t="s">
        <v>1358</v>
      </c>
      <c r="C56" s="53" t="s">
        <v>36</v>
      </c>
      <c r="D56" s="53" t="s">
        <v>119</v>
      </c>
      <c r="E56" s="31">
        <f>15512/5280</f>
        <v>2.937878787878788</v>
      </c>
      <c r="F56" s="53" t="s">
        <v>1359</v>
      </c>
      <c r="G56" s="53" t="s">
        <v>1360</v>
      </c>
      <c r="H56" s="54" t="s">
        <v>1245</v>
      </c>
    </row>
    <row r="57" spans="1:8" s="53" customFormat="1" x14ac:dyDescent="0.25">
      <c r="A57" s="18" t="s">
        <v>1240</v>
      </c>
      <c r="B57" s="53" t="s">
        <v>1361</v>
      </c>
      <c r="C57" s="53" t="s">
        <v>36</v>
      </c>
      <c r="D57" s="53" t="s">
        <v>1337</v>
      </c>
      <c r="E57" s="31">
        <f>1615/5280</f>
        <v>0.3058712121212121</v>
      </c>
      <c r="F57" s="53" t="s">
        <v>232</v>
      </c>
      <c r="G57" s="53" t="s">
        <v>1362</v>
      </c>
      <c r="H57" s="54" t="s">
        <v>1245</v>
      </c>
    </row>
    <row r="58" spans="1:8" s="53" customFormat="1" x14ac:dyDescent="0.25">
      <c r="A58" s="18" t="s">
        <v>1240</v>
      </c>
      <c r="B58" s="53" t="s">
        <v>1363</v>
      </c>
      <c r="C58" s="53" t="s">
        <v>36</v>
      </c>
      <c r="D58" s="53" t="s">
        <v>1337</v>
      </c>
      <c r="E58" s="31">
        <f>(501+544)/5280</f>
        <v>0.19791666666666666</v>
      </c>
      <c r="F58" s="53" t="s">
        <v>154</v>
      </c>
      <c r="G58" s="53" t="s">
        <v>1364</v>
      </c>
      <c r="H58" s="54" t="s">
        <v>1245</v>
      </c>
    </row>
    <row r="59" spans="1:8" s="53" customFormat="1" x14ac:dyDescent="0.25">
      <c r="A59" s="18" t="s">
        <v>1240</v>
      </c>
      <c r="B59" s="53" t="s">
        <v>1365</v>
      </c>
      <c r="C59" s="53" t="s">
        <v>12</v>
      </c>
      <c r="D59" s="53" t="s">
        <v>1366</v>
      </c>
      <c r="E59" s="31">
        <f>1960/5280</f>
        <v>0.37121212121212122</v>
      </c>
      <c r="F59" s="53" t="s">
        <v>13</v>
      </c>
      <c r="H59" s="54" t="s">
        <v>1245</v>
      </c>
    </row>
    <row r="60" spans="1:8" s="53" customFormat="1" x14ac:dyDescent="0.25">
      <c r="A60" s="18" t="s">
        <v>1240</v>
      </c>
      <c r="B60" s="53" t="s">
        <v>1367</v>
      </c>
      <c r="C60" s="53" t="s">
        <v>12</v>
      </c>
      <c r="D60" s="53" t="s">
        <v>1368</v>
      </c>
      <c r="E60" s="31">
        <f>(1088)/5280</f>
        <v>0.20606060606060606</v>
      </c>
      <c r="F60" s="53" t="s">
        <v>1369</v>
      </c>
      <c r="G60" s="53" t="s">
        <v>1370</v>
      </c>
      <c r="H60" s="54" t="s">
        <v>1245</v>
      </c>
    </row>
    <row r="61" spans="1:8" s="53" customFormat="1" x14ac:dyDescent="0.25">
      <c r="A61" s="18" t="s">
        <v>1240</v>
      </c>
      <c r="B61" s="53" t="s">
        <v>1371</v>
      </c>
      <c r="C61" s="53" t="s">
        <v>12</v>
      </c>
      <c r="D61" s="53" t="s">
        <v>1372</v>
      </c>
      <c r="E61" s="31">
        <f>415/5280</f>
        <v>7.8598484848484848E-2</v>
      </c>
      <c r="F61" s="53" t="s">
        <v>232</v>
      </c>
      <c r="G61" s="53" t="s">
        <v>1373</v>
      </c>
      <c r="H61" s="54" t="s">
        <v>1245</v>
      </c>
    </row>
    <row r="62" spans="1:8" s="53" customFormat="1" x14ac:dyDescent="0.25">
      <c r="A62" s="18" t="s">
        <v>1240</v>
      </c>
      <c r="B62" s="23" t="s">
        <v>1374</v>
      </c>
      <c r="C62" s="53" t="s">
        <v>12</v>
      </c>
      <c r="D62" s="23" t="s">
        <v>112</v>
      </c>
      <c r="E62" s="31">
        <f>1089/5280</f>
        <v>0.20624999999999999</v>
      </c>
      <c r="F62" s="53" t="s">
        <v>232</v>
      </c>
      <c r="G62" s="53" t="s">
        <v>1375</v>
      </c>
      <c r="H62" s="54" t="s">
        <v>1245</v>
      </c>
    </row>
    <row r="63" spans="1:8" s="53" customFormat="1" x14ac:dyDescent="0.25">
      <c r="A63" s="18" t="s">
        <v>1240</v>
      </c>
      <c r="B63" s="23" t="s">
        <v>1376</v>
      </c>
      <c r="C63" s="53" t="s">
        <v>12</v>
      </c>
      <c r="D63" s="23" t="s">
        <v>1377</v>
      </c>
      <c r="E63" s="31">
        <f>178/5280</f>
        <v>3.3712121212121214E-2</v>
      </c>
      <c r="F63" s="53" t="s">
        <v>1622</v>
      </c>
      <c r="H63" s="54" t="s">
        <v>1245</v>
      </c>
    </row>
    <row r="64" spans="1:8" s="53" customFormat="1" x14ac:dyDescent="0.25">
      <c r="A64" s="18" t="s">
        <v>1240</v>
      </c>
      <c r="B64" s="23" t="s">
        <v>1378</v>
      </c>
      <c r="C64" s="53" t="s">
        <v>12</v>
      </c>
      <c r="D64" s="23" t="s">
        <v>1379</v>
      </c>
      <c r="E64" s="31">
        <f>2527/5280</f>
        <v>0.47859848484848483</v>
      </c>
      <c r="F64" s="53" t="s">
        <v>1380</v>
      </c>
      <c r="G64" s="53" t="s">
        <v>1381</v>
      </c>
      <c r="H64" s="54" t="s">
        <v>1245</v>
      </c>
    </row>
    <row r="65" spans="1:8" s="53" customFormat="1" x14ac:dyDescent="0.25">
      <c r="A65" s="18" t="s">
        <v>1240</v>
      </c>
      <c r="B65" s="23" t="s">
        <v>1382</v>
      </c>
      <c r="C65" s="53" t="s">
        <v>12</v>
      </c>
      <c r="D65" s="23" t="s">
        <v>1383</v>
      </c>
      <c r="E65" s="31">
        <f>1135/5280</f>
        <v>0.21496212121212122</v>
      </c>
      <c r="F65" s="53" t="s">
        <v>232</v>
      </c>
      <c r="G65" s="53" t="s">
        <v>1384</v>
      </c>
      <c r="H65" s="54" t="s">
        <v>1245</v>
      </c>
    </row>
    <row r="66" spans="1:8" s="53" customFormat="1" x14ac:dyDescent="0.25">
      <c r="A66" s="18" t="s">
        <v>1240</v>
      </c>
      <c r="B66" s="53" t="s">
        <v>1385</v>
      </c>
      <c r="C66" s="53" t="s">
        <v>12</v>
      </c>
      <c r="D66" s="53" t="s">
        <v>118</v>
      </c>
      <c r="E66" s="31">
        <f>(563+1309)/5280</f>
        <v>0.35454545454545455</v>
      </c>
      <c r="F66" s="53" t="s">
        <v>13</v>
      </c>
      <c r="G66" s="53" t="s">
        <v>1386</v>
      </c>
      <c r="H66" s="54" t="s">
        <v>1245</v>
      </c>
    </row>
    <row r="67" spans="1:8" s="53" customFormat="1" x14ac:dyDescent="0.25">
      <c r="A67" s="18" t="s">
        <v>1240</v>
      </c>
      <c r="B67" s="53" t="s">
        <v>1387</v>
      </c>
      <c r="C67" s="53" t="s">
        <v>12</v>
      </c>
      <c r="D67" s="23" t="s">
        <v>1383</v>
      </c>
      <c r="E67" s="31">
        <f>(740+477)/5280</f>
        <v>0.23049242424242425</v>
      </c>
      <c r="F67" s="53" t="s">
        <v>316</v>
      </c>
      <c r="G67" s="53" t="s">
        <v>1388</v>
      </c>
      <c r="H67" s="54" t="s">
        <v>1245</v>
      </c>
    </row>
    <row r="68" spans="1:8" s="53" customFormat="1" x14ac:dyDescent="0.25">
      <c r="A68" s="18" t="s">
        <v>1240</v>
      </c>
      <c r="B68" s="53" t="s">
        <v>1389</v>
      </c>
      <c r="C68" s="53" t="s">
        <v>12</v>
      </c>
      <c r="D68" s="53" t="s">
        <v>118</v>
      </c>
      <c r="E68" s="31">
        <f>2009/5280</f>
        <v>0.38049242424242424</v>
      </c>
      <c r="F68" s="53" t="s">
        <v>13</v>
      </c>
      <c r="G68" s="53" t="s">
        <v>1390</v>
      </c>
      <c r="H68" s="54" t="s">
        <v>1245</v>
      </c>
    </row>
    <row r="69" spans="1:8" s="53" customFormat="1" x14ac:dyDescent="0.25">
      <c r="A69" s="18" t="s">
        <v>1240</v>
      </c>
      <c r="B69" s="53" t="s">
        <v>1391</v>
      </c>
      <c r="C69" s="53" t="s">
        <v>12</v>
      </c>
      <c r="D69" s="53" t="s">
        <v>1392</v>
      </c>
      <c r="E69" s="31">
        <f>1100/5280</f>
        <v>0.20833333333333334</v>
      </c>
      <c r="F69" s="53" t="s">
        <v>232</v>
      </c>
      <c r="G69" s="53" t="s">
        <v>1393</v>
      </c>
      <c r="H69" s="54" t="s">
        <v>1245</v>
      </c>
    </row>
    <row r="70" spans="1:8" s="53" customFormat="1" x14ac:dyDescent="0.25">
      <c r="A70" s="18" t="s">
        <v>1240</v>
      </c>
      <c r="B70" s="53" t="s">
        <v>1394</v>
      </c>
      <c r="C70" s="53" t="s">
        <v>12</v>
      </c>
      <c r="D70" s="53" t="s">
        <v>112</v>
      </c>
      <c r="E70" s="31">
        <f>1129/5280</f>
        <v>0.21382575757575759</v>
      </c>
      <c r="F70" s="53" t="s">
        <v>232</v>
      </c>
      <c r="G70" s="53" t="s">
        <v>1395</v>
      </c>
      <c r="H70" s="54" t="s">
        <v>1245</v>
      </c>
    </row>
    <row r="71" spans="1:8" s="53" customFormat="1" x14ac:dyDescent="0.25">
      <c r="A71" s="18" t="s">
        <v>1240</v>
      </c>
      <c r="B71" s="53" t="s">
        <v>1396</v>
      </c>
      <c r="C71" s="53" t="s">
        <v>12</v>
      </c>
      <c r="D71" s="53" t="s">
        <v>1397</v>
      </c>
      <c r="E71" s="31">
        <f>3555/5280</f>
        <v>0.67329545454545459</v>
      </c>
      <c r="F71" s="53" t="s">
        <v>316</v>
      </c>
      <c r="G71" s="53" t="s">
        <v>1398</v>
      </c>
      <c r="H71" s="54" t="s">
        <v>1245</v>
      </c>
    </row>
    <row r="72" spans="1:8" s="53" customFormat="1" x14ac:dyDescent="0.25">
      <c r="A72" s="18" t="s">
        <v>1240</v>
      </c>
      <c r="B72" s="53" t="s">
        <v>1399</v>
      </c>
      <c r="C72" s="23" t="s">
        <v>12</v>
      </c>
      <c r="D72" s="53" t="s">
        <v>1400</v>
      </c>
      <c r="E72" s="31">
        <f>4982/5280</f>
        <v>0.9435606060606061</v>
      </c>
      <c r="F72" s="53" t="s">
        <v>1401</v>
      </c>
      <c r="G72" s="53" t="s">
        <v>1402</v>
      </c>
      <c r="H72" s="53" t="s">
        <v>1403</v>
      </c>
    </row>
    <row r="73" spans="1:8" s="53" customFormat="1" x14ac:dyDescent="0.25">
      <c r="A73" s="18"/>
      <c r="B73" s="2"/>
      <c r="C73" s="2"/>
      <c r="D73" s="2"/>
      <c r="E73" s="19"/>
    </row>
    <row r="74" spans="1:8" s="53" customFormat="1" x14ac:dyDescent="0.25">
      <c r="A74" s="18"/>
      <c r="B74" s="2"/>
      <c r="C74" s="2"/>
      <c r="D74" s="64" t="s">
        <v>11</v>
      </c>
      <c r="E74" s="38">
        <f>SUM(E2:E72)</f>
        <v>35.553825757575765</v>
      </c>
      <c r="F74" s="39">
        <f>E74/124.19</f>
        <v>0.28628573764051668</v>
      </c>
    </row>
    <row r="75" spans="1:8" s="25" customFormat="1" x14ac:dyDescent="0.25"/>
    <row r="76" spans="1:8" s="25" customFormat="1" x14ac:dyDescent="0.25"/>
    <row r="77" spans="1:8" s="25" customFormat="1" x14ac:dyDescent="0.25">
      <c r="A77" s="66" t="s">
        <v>296</v>
      </c>
      <c r="B77" s="66" t="s">
        <v>1404</v>
      </c>
      <c r="D77" s="23"/>
      <c r="E77" s="31"/>
    </row>
    <row r="78" spans="1:8" s="25" customFormat="1" x14ac:dyDescent="0.25">
      <c r="A78" s="66"/>
      <c r="B78" s="66" t="s">
        <v>1405</v>
      </c>
      <c r="D78" s="23"/>
      <c r="E78" s="31"/>
    </row>
    <row r="79" spans="1:8" s="25" customFormat="1" x14ac:dyDescent="0.25">
      <c r="A79" s="66"/>
      <c r="B79" s="66" t="s">
        <v>1406</v>
      </c>
      <c r="D79" s="53"/>
      <c r="E79" s="31"/>
    </row>
    <row r="80" spans="1:8" s="25" customFormat="1" x14ac:dyDescent="0.25">
      <c r="B80" s="66" t="s">
        <v>1407</v>
      </c>
      <c r="D80" s="53"/>
      <c r="E80" s="71"/>
    </row>
    <row r="81" spans="2:5" s="25" customFormat="1" x14ac:dyDescent="0.25">
      <c r="B81" s="66" t="s">
        <v>2358</v>
      </c>
      <c r="D81" s="53"/>
      <c r="E81" s="31"/>
    </row>
    <row r="82" spans="2:5" s="25" customFormat="1" x14ac:dyDescent="0.25">
      <c r="B82" s="66" t="s">
        <v>2361</v>
      </c>
      <c r="D82" s="53"/>
      <c r="E82" s="31"/>
    </row>
    <row r="83" spans="2:5" x14ac:dyDescent="0.25">
      <c r="B83" s="70" t="s">
        <v>2359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workbookViewId="0"/>
  </sheetViews>
  <sheetFormatPr defaultRowHeight="15" x14ac:dyDescent="0.25"/>
  <cols>
    <col min="1" max="1" width="12.42578125" customWidth="1"/>
    <col min="2" max="2" width="46.85546875" customWidth="1"/>
    <col min="3" max="3" width="14" customWidth="1"/>
    <col min="4" max="4" width="32" customWidth="1"/>
    <col min="5" max="5" width="15.7109375" customWidth="1"/>
    <col min="6" max="6" width="49" customWidth="1"/>
    <col min="7" max="7" width="36.140625" customWidth="1"/>
    <col min="8" max="8" width="30.85546875" customWidth="1"/>
  </cols>
  <sheetData>
    <row r="1" spans="1:8" s="1" customFormat="1" ht="60" x14ac:dyDescent="0.25">
      <c r="A1" s="1" t="s">
        <v>0</v>
      </c>
      <c r="B1" s="1" t="s">
        <v>1</v>
      </c>
      <c r="C1" s="1" t="s">
        <v>4</v>
      </c>
      <c r="D1" s="1" t="s">
        <v>2</v>
      </c>
      <c r="E1" s="17" t="s">
        <v>1579</v>
      </c>
      <c r="F1" s="1" t="s">
        <v>7</v>
      </c>
      <c r="G1" s="45" t="s">
        <v>10</v>
      </c>
      <c r="H1" s="1" t="s">
        <v>3</v>
      </c>
    </row>
    <row r="2" spans="1:8" s="53" customFormat="1" x14ac:dyDescent="0.25">
      <c r="A2" s="18" t="s">
        <v>1408</v>
      </c>
      <c r="B2" s="53" t="s">
        <v>1409</v>
      </c>
      <c r="C2" s="53" t="s">
        <v>36</v>
      </c>
      <c r="D2" s="53" t="s">
        <v>1410</v>
      </c>
      <c r="E2" s="31">
        <f>(1337-580)/5280</f>
        <v>0.14337121212121212</v>
      </c>
      <c r="F2" s="53" t="s">
        <v>9</v>
      </c>
      <c r="G2" s="53" t="s">
        <v>1717</v>
      </c>
      <c r="H2" s="54" t="s">
        <v>1411</v>
      </c>
    </row>
    <row r="3" spans="1:8" s="53" customFormat="1" x14ac:dyDescent="0.25">
      <c r="A3" s="18" t="s">
        <v>1408</v>
      </c>
      <c r="B3" s="53" t="s">
        <v>1412</v>
      </c>
      <c r="C3" s="53" t="s">
        <v>36</v>
      </c>
      <c r="D3" s="53" t="s">
        <v>1413</v>
      </c>
      <c r="E3" s="31">
        <f>(24938)/5280</f>
        <v>4.7231060606060602</v>
      </c>
      <c r="F3" s="53" t="s">
        <v>9</v>
      </c>
      <c r="G3" s="53" t="s">
        <v>1414</v>
      </c>
      <c r="H3" s="54" t="s">
        <v>1415</v>
      </c>
    </row>
    <row r="4" spans="1:8" s="53" customFormat="1" x14ac:dyDescent="0.25">
      <c r="A4" s="18" t="s">
        <v>1408</v>
      </c>
      <c r="B4" s="4" t="s">
        <v>1416</v>
      </c>
      <c r="C4" s="53" t="s">
        <v>36</v>
      </c>
      <c r="D4" s="23" t="s">
        <v>94</v>
      </c>
      <c r="E4" s="31">
        <f>524/5280</f>
        <v>9.9242424242424243E-2</v>
      </c>
      <c r="F4" s="53" t="s">
        <v>232</v>
      </c>
      <c r="G4" s="53" t="s">
        <v>1417</v>
      </c>
      <c r="H4" s="54" t="s">
        <v>1411</v>
      </c>
    </row>
    <row r="5" spans="1:8" s="53" customFormat="1" x14ac:dyDescent="0.25">
      <c r="A5" s="18" t="s">
        <v>1408</v>
      </c>
      <c r="B5" s="23" t="s">
        <v>1418</v>
      </c>
      <c r="C5" s="53" t="s">
        <v>36</v>
      </c>
      <c r="D5" s="53" t="s">
        <v>94</v>
      </c>
      <c r="E5" s="31">
        <f>679/5280</f>
        <v>0.12859848484848485</v>
      </c>
      <c r="F5" s="53" t="s">
        <v>232</v>
      </c>
      <c r="G5" s="53" t="s">
        <v>1419</v>
      </c>
      <c r="H5" s="54" t="s">
        <v>1411</v>
      </c>
    </row>
    <row r="6" spans="1:8" s="53" customFormat="1" x14ac:dyDescent="0.25">
      <c r="A6" s="18" t="s">
        <v>1408</v>
      </c>
      <c r="B6" s="53" t="s">
        <v>1420</v>
      </c>
      <c r="C6" s="53" t="s">
        <v>36</v>
      </c>
      <c r="D6" s="53" t="s">
        <v>94</v>
      </c>
      <c r="E6" s="31">
        <f>972/5280</f>
        <v>0.18409090909090908</v>
      </c>
      <c r="F6" s="53" t="s">
        <v>1421</v>
      </c>
      <c r="H6" s="54" t="s">
        <v>1411</v>
      </c>
    </row>
    <row r="7" spans="1:8" s="53" customFormat="1" x14ac:dyDescent="0.25">
      <c r="A7" s="18" t="s">
        <v>1408</v>
      </c>
      <c r="B7" s="23" t="s">
        <v>1422</v>
      </c>
      <c r="C7" s="23" t="s">
        <v>36</v>
      </c>
      <c r="D7" s="23" t="s">
        <v>1423</v>
      </c>
      <c r="E7" s="71">
        <f>5179/5280</f>
        <v>0.98087121212121209</v>
      </c>
      <c r="F7" s="23" t="s">
        <v>1424</v>
      </c>
      <c r="G7" s="23" t="s">
        <v>1425</v>
      </c>
      <c r="H7" s="23" t="s">
        <v>1426</v>
      </c>
    </row>
    <row r="8" spans="1:8" s="53" customFormat="1" x14ac:dyDescent="0.25">
      <c r="A8" s="18" t="s">
        <v>1408</v>
      </c>
      <c r="B8" s="23" t="s">
        <v>1427</v>
      </c>
      <c r="C8" s="53" t="s">
        <v>36</v>
      </c>
      <c r="D8" s="23" t="s">
        <v>94</v>
      </c>
      <c r="E8" s="31">
        <f>1057/5280</f>
        <v>0.20018939393939394</v>
      </c>
      <c r="F8" s="53" t="s">
        <v>154</v>
      </c>
      <c r="G8" s="53" t="s">
        <v>1428</v>
      </c>
      <c r="H8" s="54" t="s">
        <v>1411</v>
      </c>
    </row>
    <row r="9" spans="1:8" s="53" customFormat="1" x14ac:dyDescent="0.25">
      <c r="A9" s="18" t="s">
        <v>1408</v>
      </c>
      <c r="B9" s="23" t="s">
        <v>1429</v>
      </c>
      <c r="C9" s="53" t="s">
        <v>36</v>
      </c>
      <c r="D9" s="53" t="s">
        <v>35</v>
      </c>
      <c r="E9" s="31">
        <f>649/5280</f>
        <v>0.12291666666666666</v>
      </c>
      <c r="F9" s="53" t="s">
        <v>154</v>
      </c>
      <c r="H9" s="53" t="s">
        <v>1430</v>
      </c>
    </row>
    <row r="10" spans="1:8" s="53" customFormat="1" x14ac:dyDescent="0.25">
      <c r="A10" s="18" t="s">
        <v>1408</v>
      </c>
      <c r="B10" s="23" t="s">
        <v>1431</v>
      </c>
      <c r="C10" s="53" t="s">
        <v>36</v>
      </c>
      <c r="D10" s="53" t="s">
        <v>94</v>
      </c>
      <c r="E10" s="31">
        <f>1090/5280</f>
        <v>0.20643939393939395</v>
      </c>
      <c r="F10" s="53" t="s">
        <v>9</v>
      </c>
      <c r="G10" s="53" t="s">
        <v>1432</v>
      </c>
      <c r="H10" s="54" t="s">
        <v>1411</v>
      </c>
    </row>
    <row r="11" spans="1:8" s="53" customFormat="1" x14ac:dyDescent="0.25">
      <c r="A11" s="18" t="s">
        <v>1408</v>
      </c>
      <c r="B11" s="23" t="s">
        <v>1433</v>
      </c>
      <c r="C11" s="53" t="s">
        <v>36</v>
      </c>
      <c r="D11" s="53" t="s">
        <v>1434</v>
      </c>
      <c r="E11" s="31">
        <f>9506/5280</f>
        <v>1.8003787878787878</v>
      </c>
      <c r="F11" s="53" t="s">
        <v>13</v>
      </c>
      <c r="H11" s="54" t="s">
        <v>1411</v>
      </c>
    </row>
    <row r="12" spans="1:8" s="53" customFormat="1" x14ac:dyDescent="0.25">
      <c r="A12" s="18" t="s">
        <v>1408</v>
      </c>
      <c r="B12" s="53" t="s">
        <v>41</v>
      </c>
      <c r="C12" s="53" t="s">
        <v>36</v>
      </c>
      <c r="D12" s="53" t="s">
        <v>119</v>
      </c>
      <c r="E12" s="31">
        <f>22182/5280</f>
        <v>4.2011363636363637</v>
      </c>
      <c r="F12" s="53" t="s">
        <v>9</v>
      </c>
      <c r="G12" s="53" t="s">
        <v>1435</v>
      </c>
      <c r="H12" s="54" t="s">
        <v>1411</v>
      </c>
    </row>
    <row r="13" spans="1:8" s="53" customFormat="1" x14ac:dyDescent="0.25">
      <c r="A13" s="18" t="s">
        <v>1408</v>
      </c>
      <c r="B13" s="23" t="s">
        <v>42</v>
      </c>
      <c r="C13" s="53" t="s">
        <v>36</v>
      </c>
      <c r="D13" s="53" t="s">
        <v>119</v>
      </c>
      <c r="E13" s="31">
        <f>(227+4974)/5280</f>
        <v>0.98503787878787874</v>
      </c>
      <c r="F13" s="53" t="s">
        <v>9</v>
      </c>
      <c r="G13" s="53" t="s">
        <v>1718</v>
      </c>
      <c r="H13" s="54" t="s">
        <v>1411</v>
      </c>
    </row>
    <row r="14" spans="1:8" s="53" customFormat="1" x14ac:dyDescent="0.25">
      <c r="A14" s="18" t="s">
        <v>1408</v>
      </c>
      <c r="B14" s="4" t="s">
        <v>1436</v>
      </c>
      <c r="C14" s="53" t="s">
        <v>36</v>
      </c>
      <c r="D14" s="53" t="s">
        <v>1249</v>
      </c>
      <c r="E14" s="31">
        <f>106/5280</f>
        <v>2.0075757575757577E-2</v>
      </c>
      <c r="F14" s="53" t="s">
        <v>13</v>
      </c>
      <c r="G14" s="53" t="s">
        <v>1437</v>
      </c>
      <c r="H14" s="54" t="s">
        <v>1411</v>
      </c>
    </row>
    <row r="15" spans="1:8" s="53" customFormat="1" x14ac:dyDescent="0.25">
      <c r="A15" s="18" t="s">
        <v>1408</v>
      </c>
      <c r="B15" s="4" t="s">
        <v>1438</v>
      </c>
      <c r="C15" s="53" t="s">
        <v>36</v>
      </c>
      <c r="D15" s="53" t="s">
        <v>94</v>
      </c>
      <c r="E15" s="31">
        <f>501/5280</f>
        <v>9.488636363636363E-2</v>
      </c>
      <c r="F15" s="53" t="s">
        <v>232</v>
      </c>
      <c r="G15" s="53" t="s">
        <v>1439</v>
      </c>
      <c r="H15" s="54" t="s">
        <v>1411</v>
      </c>
    </row>
    <row r="16" spans="1:8" s="53" customFormat="1" x14ac:dyDescent="0.25">
      <c r="A16" s="18" t="s">
        <v>1408</v>
      </c>
      <c r="B16" s="4" t="s">
        <v>1440</v>
      </c>
      <c r="C16" s="53" t="s">
        <v>36</v>
      </c>
      <c r="D16" s="53" t="s">
        <v>94</v>
      </c>
      <c r="E16" s="31">
        <f>2465/5280</f>
        <v>0.46685606060606061</v>
      </c>
      <c r="F16" s="53" t="s">
        <v>1441</v>
      </c>
      <c r="G16" s="53" t="s">
        <v>1442</v>
      </c>
      <c r="H16" s="54" t="s">
        <v>1411</v>
      </c>
    </row>
    <row r="17" spans="1:8" s="53" customFormat="1" x14ac:dyDescent="0.25">
      <c r="A17" s="18" t="s">
        <v>1408</v>
      </c>
      <c r="B17" s="4" t="s">
        <v>1443</v>
      </c>
      <c r="C17" s="23" t="s">
        <v>36</v>
      </c>
      <c r="D17" s="23" t="s">
        <v>94</v>
      </c>
      <c r="E17" s="71">
        <f>2706/5280</f>
        <v>0.51249999999999996</v>
      </c>
      <c r="F17" s="23" t="s">
        <v>1444</v>
      </c>
      <c r="G17" s="53" t="s">
        <v>1445</v>
      </c>
      <c r="H17" s="54" t="s">
        <v>1411</v>
      </c>
    </row>
    <row r="18" spans="1:8" s="53" customFormat="1" x14ac:dyDescent="0.25">
      <c r="A18" s="18" t="s">
        <v>1408</v>
      </c>
      <c r="B18" s="4" t="s">
        <v>1446</v>
      </c>
      <c r="C18" s="53" t="s">
        <v>36</v>
      </c>
      <c r="D18" s="53" t="s">
        <v>94</v>
      </c>
      <c r="E18" s="31">
        <f>1987/5280</f>
        <v>0.37632575757575759</v>
      </c>
      <c r="F18" s="53" t="s">
        <v>154</v>
      </c>
      <c r="G18" s="53" t="s">
        <v>1447</v>
      </c>
      <c r="H18" s="53" t="s">
        <v>1448</v>
      </c>
    </row>
    <row r="19" spans="1:8" s="53" customFormat="1" x14ac:dyDescent="0.25">
      <c r="A19" s="18" t="s">
        <v>1408</v>
      </c>
      <c r="B19" s="4" t="s">
        <v>1449</v>
      </c>
      <c r="C19" s="53" t="s">
        <v>36</v>
      </c>
      <c r="D19" s="53" t="s">
        <v>94</v>
      </c>
      <c r="E19" s="31">
        <f>(1145)/5280</f>
        <v>0.21685606060606061</v>
      </c>
      <c r="F19" s="53" t="s">
        <v>154</v>
      </c>
      <c r="G19" s="53" t="s">
        <v>1450</v>
      </c>
      <c r="H19" s="53" t="s">
        <v>1448</v>
      </c>
    </row>
    <row r="20" spans="1:8" s="53" customFormat="1" x14ac:dyDescent="0.25">
      <c r="A20" s="18" t="s">
        <v>1408</v>
      </c>
      <c r="B20" s="4" t="s">
        <v>1451</v>
      </c>
      <c r="C20" s="23" t="s">
        <v>36</v>
      </c>
      <c r="D20" s="23" t="s">
        <v>94</v>
      </c>
      <c r="E20" s="31">
        <f>618/5280</f>
        <v>0.11704545454545455</v>
      </c>
      <c r="F20" s="23" t="s">
        <v>154</v>
      </c>
      <c r="H20" s="54" t="s">
        <v>1411</v>
      </c>
    </row>
    <row r="21" spans="1:8" s="53" customFormat="1" x14ac:dyDescent="0.25">
      <c r="A21" s="18" t="s">
        <v>1408</v>
      </c>
      <c r="B21" s="4" t="s">
        <v>1452</v>
      </c>
      <c r="C21" s="53" t="s">
        <v>36</v>
      </c>
      <c r="D21" s="23" t="s">
        <v>1423</v>
      </c>
      <c r="E21" s="31">
        <f>885/5280</f>
        <v>0.16761363636363635</v>
      </c>
      <c r="F21" s="23" t="s">
        <v>1424</v>
      </c>
      <c r="G21" s="23" t="s">
        <v>1453</v>
      </c>
      <c r="H21" s="54" t="s">
        <v>1426</v>
      </c>
    </row>
    <row r="22" spans="1:8" s="53" customFormat="1" x14ac:dyDescent="0.25">
      <c r="A22" s="18" t="s">
        <v>1408</v>
      </c>
      <c r="B22" s="4" t="s">
        <v>1454</v>
      </c>
      <c r="C22" s="53" t="s">
        <v>36</v>
      </c>
      <c r="D22" s="23" t="s">
        <v>1455</v>
      </c>
      <c r="E22" s="31">
        <f>1519/5280</f>
        <v>0.28768939393939397</v>
      </c>
      <c r="F22" s="23" t="s">
        <v>1456</v>
      </c>
      <c r="G22" s="23" t="s">
        <v>1457</v>
      </c>
      <c r="H22" s="54" t="s">
        <v>1411</v>
      </c>
    </row>
    <row r="23" spans="1:8" s="53" customFormat="1" x14ac:dyDescent="0.25">
      <c r="A23" s="18" t="s">
        <v>1408</v>
      </c>
      <c r="B23" s="4" t="s">
        <v>1458</v>
      </c>
      <c r="C23" s="53" t="s">
        <v>36</v>
      </c>
      <c r="D23" s="53" t="s">
        <v>94</v>
      </c>
      <c r="E23" s="31">
        <f>2208/5280</f>
        <v>0.41818181818181815</v>
      </c>
      <c r="F23" s="53" t="s">
        <v>9</v>
      </c>
      <c r="G23" s="53" t="s">
        <v>1459</v>
      </c>
      <c r="H23" s="54" t="s">
        <v>1411</v>
      </c>
    </row>
    <row r="24" spans="1:8" s="53" customFormat="1" x14ac:dyDescent="0.25">
      <c r="A24" s="18" t="s">
        <v>1408</v>
      </c>
      <c r="B24" s="4" t="s">
        <v>1460</v>
      </c>
      <c r="C24" s="53" t="s">
        <v>36</v>
      </c>
      <c r="D24" s="53" t="s">
        <v>94</v>
      </c>
      <c r="E24" s="31">
        <f>2835/5280</f>
        <v>0.53693181818181823</v>
      </c>
      <c r="F24" s="23" t="s">
        <v>232</v>
      </c>
      <c r="G24" s="53" t="s">
        <v>1461</v>
      </c>
      <c r="H24" s="23" t="s">
        <v>1448</v>
      </c>
    </row>
    <row r="25" spans="1:8" s="53" customFormat="1" x14ac:dyDescent="0.25">
      <c r="A25" s="18" t="s">
        <v>1408</v>
      </c>
      <c r="B25" s="4" t="s">
        <v>1462</v>
      </c>
      <c r="C25" s="53" t="s">
        <v>36</v>
      </c>
      <c r="D25" s="53" t="s">
        <v>35</v>
      </c>
      <c r="E25" s="31">
        <f>(21863)/5280</f>
        <v>4.1407196969696969</v>
      </c>
      <c r="F25" s="53" t="s">
        <v>9</v>
      </c>
      <c r="G25" s="53" t="s">
        <v>1463</v>
      </c>
      <c r="H25" s="54" t="s">
        <v>1411</v>
      </c>
    </row>
    <row r="26" spans="1:8" s="53" customFormat="1" x14ac:dyDescent="0.25">
      <c r="A26" s="18" t="s">
        <v>1408</v>
      </c>
      <c r="B26" s="4" t="s">
        <v>1464</v>
      </c>
      <c r="C26" s="53" t="s">
        <v>36</v>
      </c>
      <c r="D26" s="53" t="s">
        <v>17</v>
      </c>
      <c r="E26" s="31">
        <f>1962/5280</f>
        <v>0.37159090909090908</v>
      </c>
      <c r="F26" s="53" t="s">
        <v>13</v>
      </c>
      <c r="H26" s="54" t="s">
        <v>1411</v>
      </c>
    </row>
    <row r="27" spans="1:8" s="53" customFormat="1" x14ac:dyDescent="0.25">
      <c r="A27" s="18" t="s">
        <v>1408</v>
      </c>
      <c r="B27" s="4" t="s">
        <v>1465</v>
      </c>
      <c r="C27" s="53" t="s">
        <v>36</v>
      </c>
      <c r="D27" s="53" t="s">
        <v>94</v>
      </c>
      <c r="E27" s="60">
        <f>291/5280</f>
        <v>5.5113636363636365E-2</v>
      </c>
      <c r="F27" s="53" t="s">
        <v>232</v>
      </c>
      <c r="H27" s="54" t="s">
        <v>1411</v>
      </c>
    </row>
    <row r="28" spans="1:8" s="53" customFormat="1" x14ac:dyDescent="0.25">
      <c r="A28" s="18" t="s">
        <v>1408</v>
      </c>
      <c r="B28" s="4" t="s">
        <v>1466</v>
      </c>
      <c r="C28" s="53" t="s">
        <v>36</v>
      </c>
      <c r="D28" s="53" t="s">
        <v>1467</v>
      </c>
      <c r="E28" s="71" t="s">
        <v>354</v>
      </c>
      <c r="F28" s="53" t="s">
        <v>13</v>
      </c>
      <c r="G28" s="53" t="s">
        <v>1715</v>
      </c>
      <c r="H28" s="54" t="s">
        <v>1411</v>
      </c>
    </row>
    <row r="29" spans="1:8" s="53" customFormat="1" x14ac:dyDescent="0.25">
      <c r="A29" s="18" t="s">
        <v>1408</v>
      </c>
      <c r="B29" s="4" t="s">
        <v>1713</v>
      </c>
      <c r="C29" s="53" t="s">
        <v>36</v>
      </c>
      <c r="D29" s="23" t="s">
        <v>35</v>
      </c>
      <c r="E29" s="71">
        <f>(873+2054)/5280</f>
        <v>0.55435606060606057</v>
      </c>
      <c r="F29" s="23" t="s">
        <v>9</v>
      </c>
      <c r="G29" s="23" t="s">
        <v>1714</v>
      </c>
      <c r="H29" s="54" t="s">
        <v>1411</v>
      </c>
    </row>
    <row r="30" spans="1:8" s="53" customFormat="1" x14ac:dyDescent="0.25">
      <c r="A30" s="18" t="s">
        <v>1408</v>
      </c>
      <c r="B30" s="4" t="s">
        <v>1468</v>
      </c>
      <c r="C30" s="53" t="s">
        <v>36</v>
      </c>
      <c r="D30" s="53" t="s">
        <v>1469</v>
      </c>
      <c r="E30" s="31">
        <f>7138/5280</f>
        <v>1.3518939393939393</v>
      </c>
      <c r="F30" s="53" t="s">
        <v>13</v>
      </c>
      <c r="G30" s="53" t="s">
        <v>132</v>
      </c>
      <c r="H30" s="54" t="s">
        <v>1411</v>
      </c>
    </row>
    <row r="31" spans="1:8" s="53" customFormat="1" x14ac:dyDescent="0.25">
      <c r="A31" s="18" t="s">
        <v>1408</v>
      </c>
      <c r="B31" s="4" t="s">
        <v>1470</v>
      </c>
      <c r="C31" s="53" t="s">
        <v>36</v>
      </c>
      <c r="D31" s="53" t="s">
        <v>1471</v>
      </c>
      <c r="E31" s="31">
        <f>845/5280</f>
        <v>0.16003787878787878</v>
      </c>
      <c r="F31" s="53" t="s">
        <v>232</v>
      </c>
      <c r="G31" s="53" t="s">
        <v>1472</v>
      </c>
      <c r="H31" s="54" t="s">
        <v>1411</v>
      </c>
    </row>
    <row r="32" spans="1:8" s="53" customFormat="1" x14ac:dyDescent="0.25">
      <c r="A32" s="18" t="s">
        <v>1408</v>
      </c>
      <c r="B32" s="4" t="s">
        <v>1473</v>
      </c>
      <c r="C32" s="53" t="s">
        <v>36</v>
      </c>
      <c r="D32" s="23" t="s">
        <v>1423</v>
      </c>
      <c r="E32" s="71">
        <f>400/5280</f>
        <v>7.575757575757576E-2</v>
      </c>
      <c r="F32" s="23" t="s">
        <v>1423</v>
      </c>
      <c r="G32" s="53" t="s">
        <v>1474</v>
      </c>
      <c r="H32" s="54" t="s">
        <v>1426</v>
      </c>
    </row>
    <row r="33" spans="1:8" s="53" customFormat="1" x14ac:dyDescent="0.25">
      <c r="A33" s="18" t="s">
        <v>1408</v>
      </c>
      <c r="B33" s="4" t="s">
        <v>1475</v>
      </c>
      <c r="C33" s="53" t="s">
        <v>36</v>
      </c>
      <c r="D33" s="53" t="s">
        <v>1249</v>
      </c>
      <c r="E33" s="31">
        <f>994/5280</f>
        <v>0.18825757575757576</v>
      </c>
      <c r="F33" s="53" t="s">
        <v>208</v>
      </c>
      <c r="G33" s="53" t="s">
        <v>1476</v>
      </c>
      <c r="H33" s="54" t="s">
        <v>1411</v>
      </c>
    </row>
    <row r="34" spans="1:8" s="53" customFormat="1" x14ac:dyDescent="0.25">
      <c r="A34" s="18" t="s">
        <v>1408</v>
      </c>
      <c r="B34" s="4" t="s">
        <v>1477</v>
      </c>
      <c r="C34" s="53" t="s">
        <v>36</v>
      </c>
      <c r="D34" s="23" t="s">
        <v>1423</v>
      </c>
      <c r="E34" s="31">
        <f>229/5280</f>
        <v>4.3371212121212123E-2</v>
      </c>
      <c r="F34" s="23" t="s">
        <v>1423</v>
      </c>
      <c r="G34" s="23" t="s">
        <v>1478</v>
      </c>
      <c r="H34" s="54" t="s">
        <v>1426</v>
      </c>
    </row>
    <row r="35" spans="1:8" s="53" customFormat="1" x14ac:dyDescent="0.25">
      <c r="A35" s="18" t="s">
        <v>1408</v>
      </c>
      <c r="B35" s="4" t="s">
        <v>1479</v>
      </c>
      <c r="C35" s="53" t="s">
        <v>36</v>
      </c>
      <c r="D35" s="53" t="s">
        <v>23</v>
      </c>
      <c r="E35" s="31">
        <f>(7509)/5280</f>
        <v>1.4221590909090909</v>
      </c>
      <c r="F35" s="53" t="s">
        <v>316</v>
      </c>
      <c r="G35" s="53" t="s">
        <v>1480</v>
      </c>
      <c r="H35" s="54" t="s">
        <v>1411</v>
      </c>
    </row>
    <row r="36" spans="1:8" s="53" customFormat="1" x14ac:dyDescent="0.25">
      <c r="A36" s="18" t="s">
        <v>1408</v>
      </c>
      <c r="B36" s="4" t="s">
        <v>1481</v>
      </c>
      <c r="C36" s="53" t="s">
        <v>36</v>
      </c>
      <c r="D36" s="23" t="s">
        <v>35</v>
      </c>
      <c r="E36" s="31">
        <f>2811/5280</f>
        <v>0.5323863636363636</v>
      </c>
      <c r="F36" s="23" t="s">
        <v>219</v>
      </c>
      <c r="H36" s="54" t="s">
        <v>1411</v>
      </c>
    </row>
    <row r="37" spans="1:8" s="53" customFormat="1" x14ac:dyDescent="0.25">
      <c r="A37" s="18" t="s">
        <v>1408</v>
      </c>
      <c r="B37" s="4" t="s">
        <v>1482</v>
      </c>
      <c r="C37" s="53" t="s">
        <v>36</v>
      </c>
      <c r="D37" s="53" t="s">
        <v>5</v>
      </c>
      <c r="E37" s="31">
        <f>(10116+9670)/5280</f>
        <v>3.747348484848485</v>
      </c>
      <c r="F37" s="53" t="s">
        <v>8</v>
      </c>
      <c r="G37" s="53" t="s">
        <v>1483</v>
      </c>
      <c r="H37" s="23" t="s">
        <v>2063</v>
      </c>
    </row>
    <row r="38" spans="1:8" s="53" customFormat="1" x14ac:dyDescent="0.25">
      <c r="A38" s="18" t="s">
        <v>1408</v>
      </c>
      <c r="B38" s="4" t="s">
        <v>1484</v>
      </c>
      <c r="C38" s="53" t="s">
        <v>36</v>
      </c>
      <c r="D38" s="53" t="s">
        <v>1249</v>
      </c>
      <c r="E38" s="31">
        <f>(12156)/5280</f>
        <v>2.3022727272727272</v>
      </c>
      <c r="F38" s="53" t="s">
        <v>208</v>
      </c>
      <c r="G38" s="53" t="s">
        <v>1716</v>
      </c>
      <c r="H38" s="54" t="s">
        <v>1411</v>
      </c>
    </row>
    <row r="39" spans="1:8" s="53" customFormat="1" x14ac:dyDescent="0.25">
      <c r="A39" s="18" t="s">
        <v>1408</v>
      </c>
      <c r="B39" s="4" t="s">
        <v>1485</v>
      </c>
      <c r="C39" s="53" t="s">
        <v>36</v>
      </c>
      <c r="D39" s="4" t="s">
        <v>17</v>
      </c>
      <c r="E39" s="31">
        <f>2410/5280</f>
        <v>0.45643939393939392</v>
      </c>
      <c r="F39" s="23" t="s">
        <v>208</v>
      </c>
      <c r="H39" s="54" t="s">
        <v>1411</v>
      </c>
    </row>
    <row r="40" spans="1:8" s="53" customFormat="1" x14ac:dyDescent="0.25">
      <c r="A40" s="18" t="s">
        <v>1408</v>
      </c>
      <c r="B40" s="4" t="s">
        <v>1486</v>
      </c>
      <c r="C40" s="53" t="s">
        <v>36</v>
      </c>
      <c r="D40" s="23" t="s">
        <v>35</v>
      </c>
      <c r="E40" s="31">
        <f>1476/5280</f>
        <v>0.27954545454545454</v>
      </c>
      <c r="F40" s="53" t="s">
        <v>154</v>
      </c>
      <c r="G40" s="53" t="s">
        <v>1487</v>
      </c>
      <c r="H40" s="54" t="s">
        <v>1411</v>
      </c>
    </row>
    <row r="41" spans="1:8" s="53" customFormat="1" x14ac:dyDescent="0.25">
      <c r="A41" s="18" t="s">
        <v>1408</v>
      </c>
      <c r="B41" s="4" t="s">
        <v>1488</v>
      </c>
      <c r="C41" s="53" t="s">
        <v>36</v>
      </c>
      <c r="D41" s="53" t="s">
        <v>1489</v>
      </c>
      <c r="E41" s="31">
        <f>1990/5280</f>
        <v>0.37689393939393939</v>
      </c>
      <c r="F41" s="53" t="s">
        <v>1490</v>
      </c>
      <c r="H41" s="54" t="s">
        <v>1411</v>
      </c>
    </row>
    <row r="42" spans="1:8" s="53" customFormat="1" x14ac:dyDescent="0.25">
      <c r="A42" s="18" t="s">
        <v>1408</v>
      </c>
      <c r="B42" s="4" t="s">
        <v>1491</v>
      </c>
      <c r="C42" s="53" t="s">
        <v>36</v>
      </c>
      <c r="D42" s="23" t="s">
        <v>23</v>
      </c>
      <c r="E42" s="31">
        <f>1218/5280</f>
        <v>0.23068181818181818</v>
      </c>
      <c r="F42" s="53" t="s">
        <v>232</v>
      </c>
      <c r="G42" s="53" t="s">
        <v>1492</v>
      </c>
      <c r="H42" s="54" t="s">
        <v>1411</v>
      </c>
    </row>
    <row r="43" spans="1:8" s="53" customFormat="1" x14ac:dyDescent="0.25">
      <c r="A43" s="18" t="s">
        <v>1408</v>
      </c>
      <c r="B43" s="4" t="s">
        <v>1493</v>
      </c>
      <c r="C43" s="53" t="s">
        <v>36</v>
      </c>
      <c r="D43" s="53" t="s">
        <v>23</v>
      </c>
      <c r="E43" s="31">
        <f>978/5280</f>
        <v>0.18522727272727274</v>
      </c>
      <c r="F43" s="53" t="s">
        <v>232</v>
      </c>
      <c r="H43" s="54" t="s">
        <v>1411</v>
      </c>
    </row>
    <row r="44" spans="1:8" s="53" customFormat="1" x14ac:dyDescent="0.25">
      <c r="A44" s="18" t="s">
        <v>1408</v>
      </c>
      <c r="B44" s="4" t="s">
        <v>1494</v>
      </c>
      <c r="C44" s="53" t="s">
        <v>36</v>
      </c>
      <c r="D44" s="53" t="s">
        <v>23</v>
      </c>
      <c r="E44" s="31">
        <f>2754/5280</f>
        <v>0.52159090909090911</v>
      </c>
      <c r="F44" s="53" t="s">
        <v>9</v>
      </c>
      <c r="G44" s="53" t="s">
        <v>1495</v>
      </c>
      <c r="H44" s="54" t="s">
        <v>1411</v>
      </c>
    </row>
    <row r="45" spans="1:8" s="23" customFormat="1" x14ac:dyDescent="0.25">
      <c r="A45" s="11" t="s">
        <v>1408</v>
      </c>
      <c r="B45" s="4" t="s">
        <v>1496</v>
      </c>
      <c r="C45" s="23" t="s">
        <v>36</v>
      </c>
      <c r="D45" s="23" t="s">
        <v>1423</v>
      </c>
      <c r="E45" s="71">
        <f>2371/5280</f>
        <v>0.44905303030303029</v>
      </c>
      <c r="F45" s="23" t="s">
        <v>1423</v>
      </c>
      <c r="G45" s="23" t="s">
        <v>1497</v>
      </c>
      <c r="H45" s="4" t="s">
        <v>1426</v>
      </c>
    </row>
    <row r="46" spans="1:8" s="53" customFormat="1" x14ac:dyDescent="0.25">
      <c r="A46" s="18" t="s">
        <v>1408</v>
      </c>
      <c r="B46" s="4" t="s">
        <v>1498</v>
      </c>
      <c r="C46" s="53" t="s">
        <v>36</v>
      </c>
      <c r="D46" s="53" t="s">
        <v>35</v>
      </c>
      <c r="E46" s="31">
        <f>(4249+1521)/5280</f>
        <v>1.0928030303030303</v>
      </c>
      <c r="F46" s="53" t="s">
        <v>9</v>
      </c>
      <c r="G46" s="53" t="s">
        <v>1719</v>
      </c>
      <c r="H46" s="54" t="s">
        <v>1411</v>
      </c>
    </row>
    <row r="47" spans="1:8" s="23" customFormat="1" x14ac:dyDescent="0.25">
      <c r="A47" s="11" t="s">
        <v>1408</v>
      </c>
      <c r="B47" s="4" t="s">
        <v>1499</v>
      </c>
      <c r="C47" s="23" t="s">
        <v>36</v>
      </c>
      <c r="D47" s="23" t="s">
        <v>1423</v>
      </c>
      <c r="E47" s="71">
        <f>994/5280</f>
        <v>0.18825757575757576</v>
      </c>
      <c r="F47" s="23" t="s">
        <v>1423</v>
      </c>
      <c r="H47" s="4" t="s">
        <v>1426</v>
      </c>
    </row>
    <row r="48" spans="1:8" s="23" customFormat="1" x14ac:dyDescent="0.25">
      <c r="A48" s="11" t="s">
        <v>1408</v>
      </c>
      <c r="B48" s="4" t="s">
        <v>1500</v>
      </c>
      <c r="C48" s="23" t="s">
        <v>36</v>
      </c>
      <c r="D48" s="23" t="s">
        <v>1423</v>
      </c>
      <c r="E48" s="71">
        <f>1202/5280</f>
        <v>0.22765151515151516</v>
      </c>
      <c r="F48" s="23" t="s">
        <v>1423</v>
      </c>
      <c r="H48" s="4" t="s">
        <v>1426</v>
      </c>
    </row>
    <row r="49" spans="1:8" s="53" customFormat="1" x14ac:dyDescent="0.25">
      <c r="A49" s="18" t="s">
        <v>1408</v>
      </c>
      <c r="B49" s="4" t="s">
        <v>1501</v>
      </c>
      <c r="C49" s="53" t="s">
        <v>36</v>
      </c>
      <c r="D49" s="53" t="s">
        <v>35</v>
      </c>
      <c r="E49" s="31">
        <f>(1182+840)/5280</f>
        <v>0.38295454545454544</v>
      </c>
      <c r="F49" s="53" t="s">
        <v>9</v>
      </c>
      <c r="G49" s="53" t="s">
        <v>1502</v>
      </c>
      <c r="H49" s="54" t="s">
        <v>1411</v>
      </c>
    </row>
    <row r="50" spans="1:8" s="53" customFormat="1" x14ac:dyDescent="0.25">
      <c r="A50" s="18" t="s">
        <v>1408</v>
      </c>
      <c r="B50" s="4" t="s">
        <v>1503</v>
      </c>
      <c r="C50" s="53" t="s">
        <v>36</v>
      </c>
      <c r="D50" s="53" t="s">
        <v>1249</v>
      </c>
      <c r="E50" s="31">
        <f>200/5280</f>
        <v>3.787878787878788E-2</v>
      </c>
      <c r="F50" s="53" t="s">
        <v>208</v>
      </c>
      <c r="G50" s="53" t="s">
        <v>1504</v>
      </c>
      <c r="H50" s="54" t="s">
        <v>1411</v>
      </c>
    </row>
    <row r="51" spans="1:8" s="53" customFormat="1" x14ac:dyDescent="0.25">
      <c r="A51" s="18" t="s">
        <v>1408</v>
      </c>
      <c r="B51" s="4" t="s">
        <v>1505</v>
      </c>
      <c r="C51" s="53" t="s">
        <v>36</v>
      </c>
      <c r="D51" s="53" t="s">
        <v>1287</v>
      </c>
      <c r="E51" s="31">
        <f>497/5280</f>
        <v>9.4128787878787881E-2</v>
      </c>
      <c r="F51" s="53" t="s">
        <v>232</v>
      </c>
      <c r="G51" s="53" t="s">
        <v>1506</v>
      </c>
      <c r="H51" s="54" t="s">
        <v>1411</v>
      </c>
    </row>
    <row r="52" spans="1:8" s="53" customFormat="1" x14ac:dyDescent="0.25">
      <c r="A52" s="18" t="s">
        <v>1408</v>
      </c>
      <c r="B52" s="4" t="s">
        <v>1507</v>
      </c>
      <c r="C52" s="53" t="s">
        <v>36</v>
      </c>
      <c r="D52" s="53" t="s">
        <v>1287</v>
      </c>
      <c r="E52" s="71">
        <f>(952+1304)/5280</f>
        <v>0.42727272727272725</v>
      </c>
      <c r="F52" s="53" t="s">
        <v>154</v>
      </c>
      <c r="G52" s="53" t="s">
        <v>1508</v>
      </c>
      <c r="H52" s="54" t="s">
        <v>1411</v>
      </c>
    </row>
    <row r="53" spans="1:8" s="53" customFormat="1" x14ac:dyDescent="0.25">
      <c r="A53" s="18" t="s">
        <v>1408</v>
      </c>
      <c r="B53" s="4" t="s">
        <v>1509</v>
      </c>
      <c r="C53" s="53" t="s">
        <v>36</v>
      </c>
      <c r="D53" s="53" t="s">
        <v>1279</v>
      </c>
      <c r="E53" s="31">
        <f>410/5280</f>
        <v>7.7651515151515152E-2</v>
      </c>
      <c r="F53" s="53" t="s">
        <v>316</v>
      </c>
      <c r="G53" s="53" t="s">
        <v>1510</v>
      </c>
      <c r="H53" s="54" t="s">
        <v>1411</v>
      </c>
    </row>
    <row r="54" spans="1:8" s="53" customFormat="1" x14ac:dyDescent="0.25">
      <c r="A54" s="18" t="s">
        <v>1408</v>
      </c>
      <c r="B54" s="4" t="s">
        <v>1511</v>
      </c>
      <c r="C54" s="53" t="s">
        <v>36</v>
      </c>
      <c r="D54" s="53" t="s">
        <v>1279</v>
      </c>
      <c r="E54" s="31">
        <f>552/5280</f>
        <v>0.10454545454545454</v>
      </c>
      <c r="F54" s="53" t="s">
        <v>9</v>
      </c>
      <c r="G54" s="53" t="s">
        <v>1720</v>
      </c>
      <c r="H54" s="54" t="s">
        <v>1411</v>
      </c>
    </row>
    <row r="55" spans="1:8" s="53" customFormat="1" x14ac:dyDescent="0.25">
      <c r="A55" s="18" t="s">
        <v>1408</v>
      </c>
      <c r="B55" s="4" t="s">
        <v>1512</v>
      </c>
      <c r="C55" s="53" t="s">
        <v>36</v>
      </c>
      <c r="D55" s="53" t="s">
        <v>1257</v>
      </c>
      <c r="E55" s="31">
        <f>560/5280</f>
        <v>0.10606060606060606</v>
      </c>
      <c r="F55" s="53" t="s">
        <v>232</v>
      </c>
      <c r="G55" s="53" t="s">
        <v>1513</v>
      </c>
      <c r="H55" s="54" t="s">
        <v>1411</v>
      </c>
    </row>
    <row r="56" spans="1:8" s="53" customFormat="1" x14ac:dyDescent="0.25">
      <c r="A56" s="18" t="s">
        <v>1408</v>
      </c>
      <c r="B56" s="4" t="s">
        <v>1514</v>
      </c>
      <c r="C56" s="53" t="s">
        <v>36</v>
      </c>
      <c r="D56" s="53" t="s">
        <v>1515</v>
      </c>
      <c r="E56" s="19" t="s">
        <v>354</v>
      </c>
      <c r="F56" s="53" t="s">
        <v>905</v>
      </c>
      <c r="G56" s="53" t="s">
        <v>1721</v>
      </c>
      <c r="H56" s="53" t="s">
        <v>1426</v>
      </c>
    </row>
    <row r="57" spans="1:8" s="53" customFormat="1" x14ac:dyDescent="0.25">
      <c r="A57" s="18" t="s">
        <v>1408</v>
      </c>
      <c r="B57" s="53" t="s">
        <v>1516</v>
      </c>
      <c r="C57" s="53" t="s">
        <v>36</v>
      </c>
      <c r="D57" s="53" t="s">
        <v>1249</v>
      </c>
      <c r="E57" s="31">
        <f>150/5280</f>
        <v>2.8409090909090908E-2</v>
      </c>
      <c r="F57" s="23" t="s">
        <v>208</v>
      </c>
      <c r="G57" s="23" t="s">
        <v>1517</v>
      </c>
      <c r="H57" s="54" t="s">
        <v>1411</v>
      </c>
    </row>
    <row r="58" spans="1:8" s="53" customFormat="1" x14ac:dyDescent="0.25">
      <c r="A58" s="18" t="s">
        <v>1408</v>
      </c>
      <c r="B58" s="4" t="s">
        <v>1518</v>
      </c>
      <c r="C58" s="53" t="s">
        <v>36</v>
      </c>
      <c r="D58" s="53" t="s">
        <v>1519</v>
      </c>
      <c r="E58" s="31">
        <v>4.55</v>
      </c>
      <c r="F58" s="53" t="s">
        <v>208</v>
      </c>
      <c r="G58" s="53" t="s">
        <v>1722</v>
      </c>
      <c r="H58" s="53" t="s">
        <v>1520</v>
      </c>
    </row>
    <row r="59" spans="1:8" s="53" customFormat="1" x14ac:dyDescent="0.25">
      <c r="A59" s="18" t="s">
        <v>1408</v>
      </c>
      <c r="B59" s="4" t="s">
        <v>1521</v>
      </c>
      <c r="C59" s="53" t="s">
        <v>36</v>
      </c>
      <c r="D59" s="53" t="s">
        <v>1522</v>
      </c>
      <c r="E59" s="31">
        <f>256/5280</f>
        <v>4.8484848484848485E-2</v>
      </c>
      <c r="F59" s="53" t="s">
        <v>154</v>
      </c>
      <c r="G59" s="53" t="s">
        <v>1523</v>
      </c>
      <c r="H59" s="54" t="s">
        <v>1411</v>
      </c>
    </row>
    <row r="60" spans="1:8" s="23" customFormat="1" x14ac:dyDescent="0.25">
      <c r="A60" s="11" t="s">
        <v>1408</v>
      </c>
      <c r="B60" s="4" t="s">
        <v>1524</v>
      </c>
      <c r="C60" s="23" t="s">
        <v>36</v>
      </c>
      <c r="D60" s="23" t="s">
        <v>17</v>
      </c>
      <c r="E60" s="71">
        <f>1981/5280</f>
        <v>0.37518939393939393</v>
      </c>
      <c r="F60" s="23" t="s">
        <v>13</v>
      </c>
      <c r="H60" s="23" t="s">
        <v>1525</v>
      </c>
    </row>
    <row r="61" spans="1:8" s="53" customFormat="1" x14ac:dyDescent="0.25">
      <c r="A61" s="18" t="s">
        <v>1408</v>
      </c>
      <c r="B61" s="4" t="s">
        <v>1526</v>
      </c>
      <c r="C61" s="53" t="s">
        <v>36</v>
      </c>
      <c r="D61" s="53" t="s">
        <v>1249</v>
      </c>
      <c r="E61" s="31">
        <f>795/5280</f>
        <v>0.15056818181818182</v>
      </c>
      <c r="F61" s="53" t="s">
        <v>208</v>
      </c>
      <c r="G61" s="53" t="s">
        <v>1527</v>
      </c>
      <c r="H61" s="54" t="s">
        <v>1411</v>
      </c>
    </row>
    <row r="62" spans="1:8" s="53" customFormat="1" x14ac:dyDescent="0.25">
      <c r="A62" s="18" t="s">
        <v>1408</v>
      </c>
      <c r="B62" s="4" t="s">
        <v>1528</v>
      </c>
      <c r="C62" s="53" t="s">
        <v>36</v>
      </c>
      <c r="D62" s="53" t="s">
        <v>1522</v>
      </c>
      <c r="E62" s="31">
        <f>1723/5280</f>
        <v>0.3263257575757576</v>
      </c>
      <c r="F62" s="53" t="s">
        <v>232</v>
      </c>
      <c r="G62" s="53" t="s">
        <v>1529</v>
      </c>
      <c r="H62" s="54" t="s">
        <v>1411</v>
      </c>
    </row>
    <row r="63" spans="1:8" s="53" customFormat="1" x14ac:dyDescent="0.25">
      <c r="A63" s="18" t="s">
        <v>1408</v>
      </c>
      <c r="B63" s="4" t="s">
        <v>1530</v>
      </c>
      <c r="C63" s="53" t="s">
        <v>36</v>
      </c>
      <c r="D63" s="53" t="s">
        <v>1257</v>
      </c>
      <c r="E63" s="31">
        <f>877/5280</f>
        <v>0.16609848484848486</v>
      </c>
      <c r="F63" s="53" t="s">
        <v>871</v>
      </c>
      <c r="H63" s="54" t="s">
        <v>1411</v>
      </c>
    </row>
    <row r="64" spans="1:8" s="53" customFormat="1" x14ac:dyDescent="0.25">
      <c r="A64" s="18" t="s">
        <v>1408</v>
      </c>
      <c r="B64" s="4" t="s">
        <v>1531</v>
      </c>
      <c r="C64" s="53" t="s">
        <v>36</v>
      </c>
      <c r="D64" s="53" t="s">
        <v>1261</v>
      </c>
      <c r="E64" s="31">
        <f>367/5280</f>
        <v>6.9507575757575754E-2</v>
      </c>
      <c r="F64" s="53" t="s">
        <v>154</v>
      </c>
      <c r="G64" s="53" t="s">
        <v>1714</v>
      </c>
      <c r="H64" s="54" t="s">
        <v>1411</v>
      </c>
    </row>
    <row r="65" spans="1:8" s="53" customFormat="1" x14ac:dyDescent="0.25">
      <c r="A65" s="18" t="s">
        <v>1408</v>
      </c>
      <c r="B65" s="4" t="s">
        <v>1532</v>
      </c>
      <c r="C65" s="53" t="s">
        <v>36</v>
      </c>
      <c r="D65" s="53" t="s">
        <v>1249</v>
      </c>
      <c r="E65" s="31">
        <f>(1971+104+581)/5280</f>
        <v>0.50303030303030305</v>
      </c>
      <c r="F65" s="53" t="s">
        <v>13</v>
      </c>
      <c r="G65" s="53" t="s">
        <v>1723</v>
      </c>
      <c r="H65" s="54" t="s">
        <v>1411</v>
      </c>
    </row>
    <row r="66" spans="1:8" s="53" customFormat="1" x14ac:dyDescent="0.25">
      <c r="A66" s="18" t="s">
        <v>1408</v>
      </c>
      <c r="B66" s="4" t="s">
        <v>1533</v>
      </c>
      <c r="C66" s="53" t="s">
        <v>36</v>
      </c>
      <c r="D66" s="53" t="s">
        <v>35</v>
      </c>
      <c r="E66" s="31">
        <f>3409/5280</f>
        <v>0.64564393939393938</v>
      </c>
      <c r="F66" s="53" t="s">
        <v>9</v>
      </c>
      <c r="G66" s="53" t="s">
        <v>1534</v>
      </c>
      <c r="H66" s="54" t="s">
        <v>1411</v>
      </c>
    </row>
    <row r="67" spans="1:8" s="53" customFormat="1" x14ac:dyDescent="0.25">
      <c r="A67" s="18" t="s">
        <v>1408</v>
      </c>
      <c r="B67" s="4" t="s">
        <v>1535</v>
      </c>
      <c r="C67" s="53" t="s">
        <v>36</v>
      </c>
      <c r="D67" s="53" t="s">
        <v>1249</v>
      </c>
      <c r="E67" s="31">
        <f>(54+179)/5280</f>
        <v>4.4128787878787878E-2</v>
      </c>
      <c r="F67" s="53" t="s">
        <v>1536</v>
      </c>
      <c r="G67" s="53" t="s">
        <v>1537</v>
      </c>
      <c r="H67" s="54" t="s">
        <v>1411</v>
      </c>
    </row>
    <row r="68" spans="1:8" s="53" customFormat="1" x14ac:dyDescent="0.25">
      <c r="A68" s="18" t="s">
        <v>1408</v>
      </c>
      <c r="B68" s="4" t="s">
        <v>1538</v>
      </c>
      <c r="C68" s="53" t="s">
        <v>36</v>
      </c>
      <c r="D68" s="53" t="s">
        <v>1257</v>
      </c>
      <c r="E68" s="31">
        <f>862/5280</f>
        <v>0.16325757575757577</v>
      </c>
      <c r="F68" s="53" t="s">
        <v>9</v>
      </c>
      <c r="G68" s="53" t="s">
        <v>1724</v>
      </c>
      <c r="H68" s="54" t="s">
        <v>1411</v>
      </c>
    </row>
    <row r="69" spans="1:8" s="53" customFormat="1" x14ac:dyDescent="0.25">
      <c r="A69" s="18" t="s">
        <v>1408</v>
      </c>
      <c r="B69" s="4" t="s">
        <v>1539</v>
      </c>
      <c r="C69" s="53" t="s">
        <v>36</v>
      </c>
      <c r="D69" s="53" t="s">
        <v>1261</v>
      </c>
      <c r="E69" s="31">
        <f>(388+123)/5280</f>
        <v>9.6780303030303036E-2</v>
      </c>
      <c r="F69" s="53" t="s">
        <v>316</v>
      </c>
      <c r="G69" s="53" t="s">
        <v>1540</v>
      </c>
      <c r="H69" s="54" t="s">
        <v>1411</v>
      </c>
    </row>
    <row r="70" spans="1:8" s="53" customFormat="1" x14ac:dyDescent="0.25">
      <c r="A70" s="18" t="s">
        <v>1408</v>
      </c>
      <c r="B70" s="4" t="s">
        <v>1541</v>
      </c>
      <c r="C70" s="53" t="s">
        <v>36</v>
      </c>
      <c r="D70" s="53" t="s">
        <v>1257</v>
      </c>
      <c r="E70" s="31">
        <f>(574+1312)/5280</f>
        <v>0.35719696969696968</v>
      </c>
      <c r="F70" s="53" t="s">
        <v>871</v>
      </c>
      <c r="H70" s="54" t="s">
        <v>1411</v>
      </c>
    </row>
    <row r="71" spans="1:8" s="53" customFormat="1" x14ac:dyDescent="0.25">
      <c r="A71" s="18" t="s">
        <v>1408</v>
      </c>
      <c r="B71" s="4" t="s">
        <v>1542</v>
      </c>
      <c r="C71" s="53" t="s">
        <v>36</v>
      </c>
      <c r="D71" s="53" t="s">
        <v>1543</v>
      </c>
      <c r="E71" s="31">
        <f>677/5280</f>
        <v>0.12821969696969698</v>
      </c>
      <c r="F71" s="53" t="s">
        <v>154</v>
      </c>
      <c r="G71" s="53" t="s">
        <v>1544</v>
      </c>
      <c r="H71" s="54" t="s">
        <v>1411</v>
      </c>
    </row>
    <row r="72" spans="1:8" s="53" customFormat="1" x14ac:dyDescent="0.25">
      <c r="A72" s="18" t="s">
        <v>1408</v>
      </c>
      <c r="B72" s="4" t="s">
        <v>1725</v>
      </c>
      <c r="C72" s="53" t="s">
        <v>36</v>
      </c>
      <c r="D72" s="53" t="s">
        <v>1249</v>
      </c>
      <c r="E72" s="31">
        <f>736/5280</f>
        <v>0.1393939393939394</v>
      </c>
      <c r="F72" s="53" t="s">
        <v>13</v>
      </c>
      <c r="G72" s="53" t="s">
        <v>1727</v>
      </c>
      <c r="H72" s="54" t="s">
        <v>1726</v>
      </c>
    </row>
    <row r="73" spans="1:8" s="53" customFormat="1" x14ac:dyDescent="0.25">
      <c r="A73" s="18" t="s">
        <v>1408</v>
      </c>
      <c r="B73" s="4" t="s">
        <v>1545</v>
      </c>
      <c r="C73" s="53" t="s">
        <v>36</v>
      </c>
      <c r="D73" s="53" t="s">
        <v>1543</v>
      </c>
      <c r="E73" s="31">
        <f>579/5280</f>
        <v>0.10965909090909091</v>
      </c>
      <c r="F73" s="23" t="s">
        <v>1423</v>
      </c>
      <c r="G73" s="53" t="s">
        <v>1728</v>
      </c>
      <c r="H73" s="54" t="s">
        <v>1426</v>
      </c>
    </row>
    <row r="74" spans="1:8" s="53" customFormat="1" x14ac:dyDescent="0.25">
      <c r="A74" s="18" t="s">
        <v>1408</v>
      </c>
      <c r="B74" s="4" t="s">
        <v>1546</v>
      </c>
      <c r="C74" s="53" t="s">
        <v>36</v>
      </c>
      <c r="D74" s="53" t="s">
        <v>1543</v>
      </c>
      <c r="E74" s="31">
        <f>838/5280</f>
        <v>0.15871212121212122</v>
      </c>
      <c r="F74" s="23" t="s">
        <v>316</v>
      </c>
      <c r="G74" s="23" t="s">
        <v>1547</v>
      </c>
      <c r="H74" s="54" t="s">
        <v>1411</v>
      </c>
    </row>
    <row r="75" spans="1:8" s="53" customFormat="1" x14ac:dyDescent="0.25">
      <c r="A75" s="18" t="s">
        <v>1408</v>
      </c>
      <c r="B75" s="4" t="s">
        <v>1548</v>
      </c>
      <c r="C75" s="53" t="s">
        <v>36</v>
      </c>
      <c r="D75" s="53" t="s">
        <v>1549</v>
      </c>
      <c r="E75" s="31">
        <f>(174+1706)/5280</f>
        <v>0.35606060606060608</v>
      </c>
      <c r="F75" s="23" t="s">
        <v>1550</v>
      </c>
      <c r="G75" s="23" t="s">
        <v>1551</v>
      </c>
      <c r="H75" s="54" t="s">
        <v>1411</v>
      </c>
    </row>
    <row r="76" spans="1:8" s="53" customFormat="1" x14ac:dyDescent="0.25">
      <c r="A76" s="18" t="s">
        <v>1408</v>
      </c>
      <c r="B76" s="4" t="s">
        <v>1552</v>
      </c>
      <c r="C76" s="53" t="s">
        <v>36</v>
      </c>
      <c r="D76" s="53" t="s">
        <v>1469</v>
      </c>
      <c r="E76" s="31">
        <f>(2190-78)/5280</f>
        <v>0.4</v>
      </c>
      <c r="F76" s="23" t="s">
        <v>1553</v>
      </c>
      <c r="G76" s="23" t="s">
        <v>1554</v>
      </c>
      <c r="H76" s="54" t="s">
        <v>1411</v>
      </c>
    </row>
    <row r="77" spans="1:8" s="53" customFormat="1" x14ac:dyDescent="0.25">
      <c r="A77" s="18" t="s">
        <v>1408</v>
      </c>
      <c r="B77" s="4" t="s">
        <v>1555</v>
      </c>
      <c r="C77" s="53" t="s">
        <v>36</v>
      </c>
      <c r="D77" s="53" t="s">
        <v>119</v>
      </c>
      <c r="E77" s="31">
        <f>(33810-3992)/5280</f>
        <v>5.647348484848485</v>
      </c>
      <c r="F77" s="23" t="s">
        <v>9</v>
      </c>
      <c r="G77" s="23" t="s">
        <v>1556</v>
      </c>
      <c r="H77" s="54" t="s">
        <v>1411</v>
      </c>
    </row>
    <row r="78" spans="1:8" s="53" customFormat="1" x14ac:dyDescent="0.25">
      <c r="A78" s="18" t="s">
        <v>1408</v>
      </c>
      <c r="B78" s="4" t="s">
        <v>1246</v>
      </c>
      <c r="C78" s="53" t="s">
        <v>36</v>
      </c>
      <c r="D78" s="53" t="s">
        <v>35</v>
      </c>
      <c r="E78" s="31">
        <f>(2436-50)/5280</f>
        <v>0.4518939393939394</v>
      </c>
      <c r="F78" s="23" t="s">
        <v>9</v>
      </c>
      <c r="G78" s="23" t="s">
        <v>1557</v>
      </c>
      <c r="H78" s="54" t="s">
        <v>1411</v>
      </c>
    </row>
    <row r="79" spans="1:8" s="53" customFormat="1" x14ac:dyDescent="0.25">
      <c r="A79" s="18" t="s">
        <v>1408</v>
      </c>
      <c r="B79" s="4" t="s">
        <v>1558</v>
      </c>
      <c r="C79" s="53" t="s">
        <v>36</v>
      </c>
      <c r="D79" s="53" t="s">
        <v>17</v>
      </c>
      <c r="E79" s="31">
        <f>(19730+952+4983+749+1594+3462+3449+3849+396)/5280</f>
        <v>7.417424242424242</v>
      </c>
      <c r="F79" s="23" t="s">
        <v>13</v>
      </c>
      <c r="G79" s="23" t="s">
        <v>1729</v>
      </c>
      <c r="H79" s="54" t="s">
        <v>1411</v>
      </c>
    </row>
    <row r="80" spans="1:8" s="23" customFormat="1" x14ac:dyDescent="0.25">
      <c r="A80" s="11" t="s">
        <v>1408</v>
      </c>
      <c r="B80" s="4" t="s">
        <v>1559</v>
      </c>
      <c r="C80" s="23" t="s">
        <v>36</v>
      </c>
      <c r="D80" s="23" t="s">
        <v>1560</v>
      </c>
      <c r="E80" s="71">
        <f>(262)/5280</f>
        <v>4.9621212121212122E-2</v>
      </c>
      <c r="F80" s="23" t="s">
        <v>1423</v>
      </c>
      <c r="G80" s="23" t="s">
        <v>1730</v>
      </c>
      <c r="H80" s="4" t="s">
        <v>1426</v>
      </c>
    </row>
    <row r="81" spans="1:8" s="53" customFormat="1" x14ac:dyDescent="0.25">
      <c r="A81" s="18" t="s">
        <v>1408</v>
      </c>
      <c r="B81" s="4" t="s">
        <v>1561</v>
      </c>
      <c r="C81" s="53" t="s">
        <v>36</v>
      </c>
      <c r="D81" s="53" t="s">
        <v>1560</v>
      </c>
      <c r="E81" s="31">
        <f>2027/5280</f>
        <v>0.38390151515151516</v>
      </c>
      <c r="F81" s="23" t="s">
        <v>232</v>
      </c>
      <c r="G81" s="23" t="s">
        <v>1731</v>
      </c>
      <c r="H81" s="54" t="s">
        <v>1411</v>
      </c>
    </row>
    <row r="82" spans="1:8" s="53" customFormat="1" x14ac:dyDescent="0.25">
      <c r="A82" s="18" t="s">
        <v>1408</v>
      </c>
      <c r="B82" s="4" t="s">
        <v>1562</v>
      </c>
      <c r="C82" s="53" t="s">
        <v>36</v>
      </c>
      <c r="D82" s="53" t="s">
        <v>1560</v>
      </c>
      <c r="E82" s="31">
        <f>3409/5280</f>
        <v>0.64564393939393938</v>
      </c>
      <c r="F82" s="23" t="s">
        <v>232</v>
      </c>
      <c r="G82" s="23" t="s">
        <v>1732</v>
      </c>
      <c r="H82" s="54" t="s">
        <v>1411</v>
      </c>
    </row>
    <row r="83" spans="1:8" s="18" customFormat="1" x14ac:dyDescent="0.25">
      <c r="A83" s="18" t="s">
        <v>1408</v>
      </c>
      <c r="B83" s="18" t="s">
        <v>1563</v>
      </c>
      <c r="C83" s="53" t="s">
        <v>36</v>
      </c>
      <c r="D83" s="18" t="s">
        <v>1560</v>
      </c>
      <c r="E83" s="31">
        <f>2124/5280</f>
        <v>0.40227272727272728</v>
      </c>
      <c r="F83" s="18" t="s">
        <v>232</v>
      </c>
      <c r="G83" s="18" t="s">
        <v>1564</v>
      </c>
      <c r="H83" s="54" t="s">
        <v>1411</v>
      </c>
    </row>
    <row r="84" spans="1:8" s="53" customFormat="1" x14ac:dyDescent="0.25">
      <c r="A84" s="18" t="s">
        <v>1408</v>
      </c>
      <c r="B84" s="4" t="s">
        <v>1565</v>
      </c>
      <c r="C84" s="53" t="s">
        <v>36</v>
      </c>
      <c r="D84" s="4" t="s">
        <v>1566</v>
      </c>
      <c r="E84" s="31">
        <f>356/5280</f>
        <v>6.7424242424242428E-2</v>
      </c>
      <c r="F84" s="23" t="s">
        <v>208</v>
      </c>
      <c r="G84" s="23" t="s">
        <v>1567</v>
      </c>
      <c r="H84" s="54" t="s">
        <v>1411</v>
      </c>
    </row>
    <row r="85" spans="1:8" s="53" customFormat="1" x14ac:dyDescent="0.25">
      <c r="A85" s="18" t="s">
        <v>1408</v>
      </c>
      <c r="B85" s="4" t="s">
        <v>1568</v>
      </c>
      <c r="C85" s="53" t="s">
        <v>36</v>
      </c>
      <c r="D85" s="53" t="s">
        <v>1560</v>
      </c>
      <c r="E85" s="31">
        <f>102/5280</f>
        <v>1.9318181818181818E-2</v>
      </c>
      <c r="F85" s="23" t="s">
        <v>1569</v>
      </c>
      <c r="G85" s="23" t="s">
        <v>1570</v>
      </c>
      <c r="H85" s="54" t="s">
        <v>1411</v>
      </c>
    </row>
    <row r="86" spans="1:8" s="53" customFormat="1" x14ac:dyDescent="0.25">
      <c r="A86" s="18" t="s">
        <v>1408</v>
      </c>
      <c r="B86" s="4" t="s">
        <v>1571</v>
      </c>
      <c r="C86" s="53" t="s">
        <v>36</v>
      </c>
      <c r="D86" s="53" t="s">
        <v>1572</v>
      </c>
      <c r="E86" s="31">
        <f>2684/5280</f>
        <v>0.5083333333333333</v>
      </c>
      <c r="F86" s="23" t="s">
        <v>13</v>
      </c>
      <c r="H86" s="54" t="s">
        <v>1411</v>
      </c>
    </row>
    <row r="87" spans="1:8" s="23" customFormat="1" x14ac:dyDescent="0.25">
      <c r="A87" s="11" t="s">
        <v>1408</v>
      </c>
      <c r="B87" s="4" t="s">
        <v>1573</v>
      </c>
      <c r="C87" s="23" t="s">
        <v>36</v>
      </c>
      <c r="D87" s="23" t="s">
        <v>35</v>
      </c>
      <c r="E87" s="71">
        <f>734/5280</f>
        <v>0.13901515151515151</v>
      </c>
      <c r="F87" s="23" t="s">
        <v>1423</v>
      </c>
      <c r="G87" s="23" t="s">
        <v>1574</v>
      </c>
      <c r="H87" s="4" t="s">
        <v>1426</v>
      </c>
    </row>
    <row r="88" spans="1:8" s="23" customFormat="1" x14ac:dyDescent="0.25">
      <c r="A88" s="11" t="s">
        <v>1408</v>
      </c>
      <c r="B88" s="4" t="s">
        <v>1575</v>
      </c>
      <c r="C88" s="23" t="s">
        <v>36</v>
      </c>
      <c r="D88" s="23" t="s">
        <v>1576</v>
      </c>
      <c r="E88" s="71">
        <f>(2705-521)/5280</f>
        <v>0.41363636363636364</v>
      </c>
      <c r="F88" s="23" t="s">
        <v>1423</v>
      </c>
      <c r="G88" s="23" t="s">
        <v>1577</v>
      </c>
      <c r="H88" s="4" t="s">
        <v>1426</v>
      </c>
    </row>
    <row r="89" spans="1:8" s="53" customFormat="1" x14ac:dyDescent="0.25">
      <c r="A89" s="18" t="s">
        <v>1408</v>
      </c>
      <c r="B89" s="4" t="s">
        <v>1578</v>
      </c>
      <c r="C89" s="53" t="s">
        <v>36</v>
      </c>
      <c r="D89" s="53" t="s">
        <v>1249</v>
      </c>
      <c r="E89" s="31">
        <f>2094/5280</f>
        <v>0.39659090909090911</v>
      </c>
      <c r="F89" s="23" t="s">
        <v>13</v>
      </c>
      <c r="G89" s="23" t="s">
        <v>1733</v>
      </c>
      <c r="H89" s="54" t="s">
        <v>1411</v>
      </c>
    </row>
    <row r="90" spans="1:8" s="53" customFormat="1" x14ac:dyDescent="0.25">
      <c r="A90" s="18"/>
      <c r="E90" s="19"/>
    </row>
    <row r="91" spans="1:8" s="53" customFormat="1" x14ac:dyDescent="0.25">
      <c r="D91" s="7" t="s">
        <v>11</v>
      </c>
      <c r="E91" s="38">
        <f>SUM(E2:E89)</f>
        <v>62.533333333333324</v>
      </c>
    </row>
    <row r="92" spans="1:8" s="25" customFormat="1" x14ac:dyDescent="0.25">
      <c r="E92" s="69">
        <f>E91/144.87</f>
        <v>0.43165136559214001</v>
      </c>
    </row>
    <row r="93" spans="1:8" s="25" customFormat="1" x14ac:dyDescent="0.25"/>
    <row r="94" spans="1:8" s="25" customFormat="1" x14ac:dyDescent="0.25">
      <c r="A94" s="66" t="s">
        <v>296</v>
      </c>
      <c r="B94" s="66" t="s">
        <v>1404</v>
      </c>
    </row>
    <row r="95" spans="1:8" s="25" customFormat="1" x14ac:dyDescent="0.25">
      <c r="A95" s="66"/>
      <c r="B95" s="66" t="s">
        <v>1734</v>
      </c>
      <c r="D95" s="53"/>
      <c r="E95" s="31"/>
    </row>
    <row r="96" spans="1:8" s="25" customFormat="1" x14ac:dyDescent="0.25">
      <c r="A96" s="66"/>
      <c r="B96" s="66" t="s">
        <v>1407</v>
      </c>
      <c r="D96" s="53"/>
      <c r="E96" s="31"/>
    </row>
    <row r="97" spans="2:5" s="25" customFormat="1" x14ac:dyDescent="0.25">
      <c r="B97" s="66" t="s">
        <v>2358</v>
      </c>
      <c r="D97" s="2"/>
      <c r="E97" s="31"/>
    </row>
    <row r="98" spans="2:5" s="25" customFormat="1" x14ac:dyDescent="0.25">
      <c r="B98" s="66" t="s">
        <v>2361</v>
      </c>
      <c r="D98" s="53"/>
      <c r="E98" s="31"/>
    </row>
    <row r="99" spans="2:5" s="25" customFormat="1" x14ac:dyDescent="0.25">
      <c r="B99" s="70" t="s">
        <v>2359</v>
      </c>
      <c r="D99" s="53"/>
      <c r="E99" s="31"/>
    </row>
    <row r="100" spans="2:5" s="25" customFormat="1" x14ac:dyDescent="0.25">
      <c r="D100" s="53"/>
      <c r="E100" s="31"/>
    </row>
    <row r="101" spans="2:5" s="25" customFormat="1" x14ac:dyDescent="0.25">
      <c r="D101" s="53"/>
      <c r="E101" s="31"/>
    </row>
    <row r="102" spans="2:5" s="25" customFormat="1" x14ac:dyDescent="0.25">
      <c r="D102" s="53"/>
      <c r="E102" s="31"/>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workbookViewId="0"/>
  </sheetViews>
  <sheetFormatPr defaultRowHeight="15" x14ac:dyDescent="0.25"/>
  <cols>
    <col min="1" max="1" width="12.42578125" customWidth="1"/>
    <col min="2" max="2" width="46.85546875" customWidth="1"/>
    <col min="3" max="3" width="14" customWidth="1"/>
    <col min="4" max="4" width="32" customWidth="1"/>
    <col min="5" max="5" width="15.7109375" customWidth="1"/>
    <col min="6" max="6" width="49" customWidth="1"/>
    <col min="7" max="7" width="36.140625" customWidth="1"/>
    <col min="8" max="8" width="30.85546875" customWidth="1"/>
  </cols>
  <sheetData>
    <row r="1" spans="1:9" s="1" customFormat="1" ht="60" x14ac:dyDescent="0.25">
      <c r="A1" s="1" t="s">
        <v>0</v>
      </c>
      <c r="B1" s="1" t="s">
        <v>1</v>
      </c>
      <c r="C1" s="1" t="s">
        <v>4</v>
      </c>
      <c r="D1" s="1" t="s">
        <v>2</v>
      </c>
      <c r="E1" s="17" t="s">
        <v>1579</v>
      </c>
      <c r="F1" s="1" t="s">
        <v>7</v>
      </c>
      <c r="G1" s="45" t="s">
        <v>10</v>
      </c>
      <c r="H1" s="1" t="s">
        <v>3</v>
      </c>
    </row>
    <row r="2" spans="1:9" s="11" customFormat="1" x14ac:dyDescent="0.25">
      <c r="A2" s="11" t="s">
        <v>1623</v>
      </c>
      <c r="B2" s="11" t="s">
        <v>1624</v>
      </c>
      <c r="C2" s="11" t="s">
        <v>36</v>
      </c>
      <c r="D2" s="18" t="s">
        <v>119</v>
      </c>
      <c r="E2" s="26">
        <v>1.29</v>
      </c>
      <c r="F2" s="11" t="s">
        <v>28</v>
      </c>
      <c r="G2" s="11" t="s">
        <v>1736</v>
      </c>
      <c r="H2" s="11" t="s">
        <v>1633</v>
      </c>
    </row>
    <row r="3" spans="1:9" x14ac:dyDescent="0.25">
      <c r="A3" s="11" t="s">
        <v>1623</v>
      </c>
      <c r="B3" s="32" t="s">
        <v>93</v>
      </c>
      <c r="C3" s="40" t="s">
        <v>36</v>
      </c>
      <c r="D3" s="32" t="s">
        <v>94</v>
      </c>
      <c r="E3" s="34">
        <v>0.28000000000000003</v>
      </c>
      <c r="F3" t="s">
        <v>13</v>
      </c>
      <c r="G3" t="s">
        <v>155</v>
      </c>
      <c r="H3" t="s">
        <v>1638</v>
      </c>
    </row>
    <row r="4" spans="1:9" s="8" customFormat="1" x14ac:dyDescent="0.25">
      <c r="A4" s="11" t="s">
        <v>1623</v>
      </c>
      <c r="B4" s="32" t="s">
        <v>40</v>
      </c>
      <c r="C4" s="32" t="s">
        <v>36</v>
      </c>
      <c r="D4" s="32" t="s">
        <v>119</v>
      </c>
      <c r="E4" s="60">
        <v>0.46</v>
      </c>
      <c r="F4" s="8" t="s">
        <v>28</v>
      </c>
      <c r="H4" s="8" t="s">
        <v>1639</v>
      </c>
    </row>
    <row r="5" spans="1:9" s="18" customFormat="1" x14ac:dyDescent="0.25">
      <c r="A5" s="11" t="s">
        <v>1623</v>
      </c>
      <c r="B5" s="32" t="s">
        <v>95</v>
      </c>
      <c r="C5" s="32" t="s">
        <v>36</v>
      </c>
      <c r="D5" s="32" t="s">
        <v>94</v>
      </c>
      <c r="E5" s="60">
        <v>0.31</v>
      </c>
      <c r="F5" s="18" t="s">
        <v>9</v>
      </c>
      <c r="G5" s="18" t="s">
        <v>156</v>
      </c>
      <c r="H5" s="18" t="s">
        <v>97</v>
      </c>
    </row>
    <row r="6" spans="1:9" s="8" customFormat="1" x14ac:dyDescent="0.25">
      <c r="A6" s="11" t="s">
        <v>1623</v>
      </c>
      <c r="B6" s="32" t="s">
        <v>41</v>
      </c>
      <c r="C6" s="32" t="s">
        <v>36</v>
      </c>
      <c r="D6" s="32" t="s">
        <v>119</v>
      </c>
      <c r="E6" s="27">
        <v>1.38</v>
      </c>
      <c r="F6" s="8" t="s">
        <v>28</v>
      </c>
      <c r="G6" s="8" t="s">
        <v>45</v>
      </c>
      <c r="H6" s="11" t="s">
        <v>1633</v>
      </c>
    </row>
    <row r="7" spans="1:9" s="8" customFormat="1" x14ac:dyDescent="0.25">
      <c r="A7" s="11" t="s">
        <v>1623</v>
      </c>
      <c r="B7" s="32" t="s">
        <v>42</v>
      </c>
      <c r="C7" s="32" t="s">
        <v>36</v>
      </c>
      <c r="D7" s="32" t="s">
        <v>119</v>
      </c>
      <c r="E7" s="36">
        <f>0.14+1.68</f>
        <v>1.8199999999999998</v>
      </c>
      <c r="F7" s="8" t="s">
        <v>28</v>
      </c>
      <c r="G7" s="8" t="s">
        <v>157</v>
      </c>
      <c r="H7" s="11" t="s">
        <v>1633</v>
      </c>
    </row>
    <row r="8" spans="1:9" x14ac:dyDescent="0.25">
      <c r="A8" s="11" t="s">
        <v>1623</v>
      </c>
      <c r="B8" s="32" t="s">
        <v>98</v>
      </c>
      <c r="C8" s="32" t="s">
        <v>36</v>
      </c>
      <c r="D8" s="32" t="s">
        <v>94</v>
      </c>
      <c r="E8" s="74">
        <f>478/5280</f>
        <v>9.053030303030303E-2</v>
      </c>
      <c r="F8" s="10" t="s">
        <v>154</v>
      </c>
      <c r="H8" s="11" t="s">
        <v>1633</v>
      </c>
    </row>
    <row r="9" spans="1:9" x14ac:dyDescent="0.25">
      <c r="A9" s="11" t="s">
        <v>1623</v>
      </c>
      <c r="B9" s="32" t="s">
        <v>24</v>
      </c>
      <c r="C9" s="32" t="s">
        <v>36</v>
      </c>
      <c r="D9" s="32" t="s">
        <v>5</v>
      </c>
      <c r="E9" s="74">
        <f>1450/5280</f>
        <v>0.2746212121212121</v>
      </c>
      <c r="F9" s="8" t="s">
        <v>8</v>
      </c>
      <c r="H9" s="11" t="s">
        <v>1640</v>
      </c>
      <c r="I9" s="2"/>
    </row>
    <row r="10" spans="1:9" s="8" customFormat="1" x14ac:dyDescent="0.25">
      <c r="A10" s="11" t="s">
        <v>1623</v>
      </c>
      <c r="B10" s="32" t="s">
        <v>100</v>
      </c>
      <c r="C10" s="32" t="s">
        <v>36</v>
      </c>
      <c r="D10" s="32" t="s">
        <v>17</v>
      </c>
      <c r="E10" s="33">
        <f>0.53-0.35</f>
        <v>0.18000000000000005</v>
      </c>
      <c r="F10" s="8" t="s">
        <v>13</v>
      </c>
      <c r="G10" s="8" t="s">
        <v>99</v>
      </c>
      <c r="H10" s="11" t="s">
        <v>1633</v>
      </c>
    </row>
    <row r="11" spans="1:9" s="25" customFormat="1" x14ac:dyDescent="0.25">
      <c r="A11" s="11" t="s">
        <v>1623</v>
      </c>
      <c r="B11" s="32" t="s">
        <v>101</v>
      </c>
      <c r="C11" s="32" t="s">
        <v>36</v>
      </c>
      <c r="D11" s="32" t="s">
        <v>94</v>
      </c>
      <c r="E11" s="27">
        <v>0.35</v>
      </c>
      <c r="F11" s="10" t="s">
        <v>154</v>
      </c>
      <c r="H11" s="11" t="s">
        <v>1633</v>
      </c>
    </row>
    <row r="12" spans="1:9" s="25" customFormat="1" x14ac:dyDescent="0.25">
      <c r="A12" s="11" t="s">
        <v>1623</v>
      </c>
      <c r="B12" s="32" t="s">
        <v>102</v>
      </c>
      <c r="C12" s="32" t="s">
        <v>36</v>
      </c>
      <c r="D12" s="32" t="s">
        <v>94</v>
      </c>
      <c r="E12" s="34">
        <v>0.18</v>
      </c>
      <c r="F12" s="10" t="s">
        <v>154</v>
      </c>
      <c r="H12" s="11" t="s">
        <v>1633</v>
      </c>
    </row>
    <row r="13" spans="1:9" s="25" customFormat="1" x14ac:dyDescent="0.25">
      <c r="A13" s="11" t="s">
        <v>1623</v>
      </c>
      <c r="B13" s="32" t="s">
        <v>133</v>
      </c>
      <c r="C13" s="32" t="s">
        <v>36</v>
      </c>
      <c r="D13" s="32" t="s">
        <v>94</v>
      </c>
      <c r="E13" s="74">
        <f>160/5280</f>
        <v>3.0303030303030304E-2</v>
      </c>
      <c r="F13" s="18" t="s">
        <v>154</v>
      </c>
      <c r="H13" s="11" t="s">
        <v>1633</v>
      </c>
    </row>
    <row r="14" spans="1:9" s="25" customFormat="1" x14ac:dyDescent="0.25">
      <c r="A14" s="11" t="s">
        <v>1623</v>
      </c>
      <c r="B14" s="32" t="s">
        <v>134</v>
      </c>
      <c r="C14" s="32" t="s">
        <v>36</v>
      </c>
      <c r="D14" s="32" t="s">
        <v>96</v>
      </c>
      <c r="E14" s="34">
        <v>0.03</v>
      </c>
      <c r="F14" s="18" t="s">
        <v>154</v>
      </c>
      <c r="H14" s="11" t="s">
        <v>1633</v>
      </c>
    </row>
    <row r="15" spans="1:9" s="25" customFormat="1" x14ac:dyDescent="0.25">
      <c r="A15" s="11" t="s">
        <v>1623</v>
      </c>
      <c r="B15" s="32" t="s">
        <v>103</v>
      </c>
      <c r="C15" s="32" t="s">
        <v>36</v>
      </c>
      <c r="D15" s="32" t="s">
        <v>94</v>
      </c>
      <c r="E15" s="34">
        <v>0.43</v>
      </c>
      <c r="F15" s="10" t="s">
        <v>154</v>
      </c>
      <c r="G15" s="25" t="s">
        <v>158</v>
      </c>
      <c r="H15" s="11" t="s">
        <v>1633</v>
      </c>
    </row>
    <row r="16" spans="1:9" s="25" customFormat="1" x14ac:dyDescent="0.25">
      <c r="A16" s="11" t="s">
        <v>1623</v>
      </c>
      <c r="B16" s="32" t="s">
        <v>120</v>
      </c>
      <c r="C16" s="32" t="s">
        <v>36</v>
      </c>
      <c r="D16" s="32" t="s">
        <v>94</v>
      </c>
      <c r="E16" s="74">
        <f>318/5280</f>
        <v>6.0227272727272727E-2</v>
      </c>
      <c r="F16" s="10" t="s">
        <v>154</v>
      </c>
      <c r="G16" s="18" t="s">
        <v>1625</v>
      </c>
      <c r="H16" s="11" t="s">
        <v>1633</v>
      </c>
    </row>
    <row r="17" spans="1:9" s="25" customFormat="1" x14ac:dyDescent="0.25">
      <c r="A17" s="11" t="s">
        <v>1623</v>
      </c>
      <c r="B17" s="32" t="s">
        <v>20</v>
      </c>
      <c r="C17" s="32" t="s">
        <v>36</v>
      </c>
      <c r="D17" s="90" t="s">
        <v>94</v>
      </c>
      <c r="E17" s="74">
        <f>1555/5280</f>
        <v>0.29450757575757575</v>
      </c>
      <c r="F17" s="10" t="s">
        <v>154</v>
      </c>
      <c r="G17" s="25" t="s">
        <v>1626</v>
      </c>
      <c r="H17" s="11" t="s">
        <v>1633</v>
      </c>
    </row>
    <row r="18" spans="1:9" s="10" customFormat="1" x14ac:dyDescent="0.25">
      <c r="A18" s="11" t="s">
        <v>1623</v>
      </c>
      <c r="B18" s="90" t="s">
        <v>21</v>
      </c>
      <c r="C18" s="32" t="s">
        <v>36</v>
      </c>
      <c r="D18" s="90" t="s">
        <v>94</v>
      </c>
      <c r="E18" s="33">
        <v>7.0000000000000007E-2</v>
      </c>
      <c r="F18" s="10" t="s">
        <v>154</v>
      </c>
      <c r="G18" s="10" t="s">
        <v>1627</v>
      </c>
      <c r="H18" s="11" t="s">
        <v>1633</v>
      </c>
    </row>
    <row r="19" spans="1:9" s="32" customFormat="1" x14ac:dyDescent="0.25">
      <c r="A19" s="11" t="s">
        <v>1623</v>
      </c>
      <c r="B19" s="32" t="s">
        <v>165</v>
      </c>
      <c r="C19" s="32" t="s">
        <v>36</v>
      </c>
      <c r="D19" s="32" t="s">
        <v>17</v>
      </c>
      <c r="E19" s="42">
        <f>218/5280</f>
        <v>4.128787878787879E-2</v>
      </c>
      <c r="F19" s="32" t="s">
        <v>13</v>
      </c>
      <c r="G19" s="32" t="s">
        <v>1628</v>
      </c>
      <c r="H19" s="30" t="s">
        <v>1633</v>
      </c>
      <c r="I19" s="43"/>
    </row>
    <row r="20" spans="1:9" s="10" customFormat="1" x14ac:dyDescent="0.25">
      <c r="A20" s="11" t="s">
        <v>1623</v>
      </c>
      <c r="B20" s="90" t="s">
        <v>19</v>
      </c>
      <c r="C20" s="32" t="s">
        <v>36</v>
      </c>
      <c r="D20" s="90" t="s">
        <v>94</v>
      </c>
      <c r="E20" s="33">
        <v>0.12</v>
      </c>
      <c r="F20" s="10" t="s">
        <v>154</v>
      </c>
      <c r="G20" s="10" t="s">
        <v>1629</v>
      </c>
      <c r="H20" s="11" t="s">
        <v>1633</v>
      </c>
    </row>
    <row r="21" spans="1:9" s="10" customFormat="1" x14ac:dyDescent="0.25">
      <c r="A21" s="11" t="s">
        <v>1623</v>
      </c>
      <c r="B21" s="91" t="s">
        <v>22</v>
      </c>
      <c r="C21" s="32" t="s">
        <v>36</v>
      </c>
      <c r="D21" s="90" t="s">
        <v>94</v>
      </c>
      <c r="E21" s="36">
        <v>0.52</v>
      </c>
      <c r="F21" s="10" t="s">
        <v>154</v>
      </c>
      <c r="G21" s="10" t="s">
        <v>153</v>
      </c>
      <c r="H21" s="11" t="s">
        <v>1633</v>
      </c>
    </row>
    <row r="22" spans="1:9" s="25" customFormat="1" x14ac:dyDescent="0.25">
      <c r="A22" s="11" t="s">
        <v>1623</v>
      </c>
      <c r="B22" s="32" t="s">
        <v>104</v>
      </c>
      <c r="C22" s="32" t="s">
        <v>36</v>
      </c>
      <c r="D22" s="90" t="s">
        <v>35</v>
      </c>
      <c r="E22" s="34">
        <v>0.42</v>
      </c>
      <c r="F22" s="10" t="s">
        <v>154</v>
      </c>
      <c r="G22" s="25" t="s">
        <v>1630</v>
      </c>
      <c r="H22" s="11" t="s">
        <v>1633</v>
      </c>
    </row>
    <row r="23" spans="1:9" s="25" customFormat="1" x14ac:dyDescent="0.25">
      <c r="A23" s="11" t="s">
        <v>1623</v>
      </c>
      <c r="B23" s="32" t="s">
        <v>1634</v>
      </c>
      <c r="C23" s="32" t="s">
        <v>36</v>
      </c>
      <c r="D23" s="90" t="s">
        <v>1636</v>
      </c>
      <c r="E23" s="74">
        <f>14822/5280</f>
        <v>2.8071969696969696</v>
      </c>
      <c r="F23" s="10" t="s">
        <v>154</v>
      </c>
      <c r="G23" s="25" t="s">
        <v>1635</v>
      </c>
      <c r="H23" s="11" t="s">
        <v>1633</v>
      </c>
    </row>
    <row r="24" spans="1:9" s="25" customFormat="1" x14ac:dyDescent="0.25">
      <c r="A24" s="11" t="s">
        <v>1623</v>
      </c>
      <c r="B24" s="32" t="s">
        <v>1631</v>
      </c>
      <c r="C24" s="32" t="s">
        <v>36</v>
      </c>
      <c r="D24" s="90" t="s">
        <v>23</v>
      </c>
      <c r="E24" s="74">
        <f>1212/5280</f>
        <v>0.22954545454545455</v>
      </c>
      <c r="F24" s="10" t="s">
        <v>154</v>
      </c>
      <c r="G24" s="25" t="s">
        <v>1632</v>
      </c>
      <c r="H24" s="11" t="s">
        <v>1633</v>
      </c>
    </row>
    <row r="25" spans="1:9" s="25" customFormat="1" x14ac:dyDescent="0.25">
      <c r="A25" s="11" t="s">
        <v>1623</v>
      </c>
      <c r="B25" s="32" t="s">
        <v>1637</v>
      </c>
      <c r="C25" s="32" t="s">
        <v>36</v>
      </c>
      <c r="D25" s="90" t="s">
        <v>23</v>
      </c>
      <c r="E25" s="74">
        <f>274/5280</f>
        <v>5.1893939393939395E-2</v>
      </c>
      <c r="F25" s="10" t="s">
        <v>232</v>
      </c>
      <c r="G25" s="25" t="s">
        <v>153</v>
      </c>
      <c r="H25" s="11" t="s">
        <v>1633</v>
      </c>
    </row>
    <row r="26" spans="1:9" s="25" customFormat="1" x14ac:dyDescent="0.25">
      <c r="A26" s="11" t="s">
        <v>1623</v>
      </c>
      <c r="B26" s="32" t="s">
        <v>1651</v>
      </c>
      <c r="C26" s="32" t="s">
        <v>36</v>
      </c>
      <c r="D26" s="90" t="s">
        <v>23</v>
      </c>
      <c r="E26" s="74">
        <f>1030/5280</f>
        <v>0.19507575757575757</v>
      </c>
      <c r="F26" s="10" t="s">
        <v>232</v>
      </c>
      <c r="H26" s="11" t="s">
        <v>1633</v>
      </c>
    </row>
    <row r="27" spans="1:9" s="10" customFormat="1" x14ac:dyDescent="0.25">
      <c r="A27" s="11" t="s">
        <v>1623</v>
      </c>
      <c r="B27" s="90" t="s">
        <v>105</v>
      </c>
      <c r="C27" s="32" t="s">
        <v>36</v>
      </c>
      <c r="D27" s="90" t="s">
        <v>23</v>
      </c>
      <c r="E27" s="36">
        <v>0.04</v>
      </c>
      <c r="F27" s="10" t="s">
        <v>154</v>
      </c>
      <c r="G27" s="10" t="s">
        <v>1650</v>
      </c>
      <c r="H27" s="11" t="s">
        <v>1633</v>
      </c>
    </row>
    <row r="28" spans="1:9" s="10" customFormat="1" x14ac:dyDescent="0.25">
      <c r="A28" s="11" t="s">
        <v>1623</v>
      </c>
      <c r="B28" s="91" t="s">
        <v>106</v>
      </c>
      <c r="C28" s="32" t="s">
        <v>36</v>
      </c>
      <c r="D28" s="90" t="s">
        <v>23</v>
      </c>
      <c r="E28" s="36">
        <v>0.06</v>
      </c>
      <c r="F28" s="10" t="s">
        <v>154</v>
      </c>
      <c r="G28" s="10" t="s">
        <v>159</v>
      </c>
      <c r="H28" s="11" t="s">
        <v>1633</v>
      </c>
    </row>
    <row r="29" spans="1:9" s="10" customFormat="1" x14ac:dyDescent="0.25">
      <c r="A29" s="11" t="s">
        <v>1623</v>
      </c>
      <c r="B29" s="91" t="s">
        <v>107</v>
      </c>
      <c r="C29" s="32" t="s">
        <v>36</v>
      </c>
      <c r="D29" s="90" t="s">
        <v>35</v>
      </c>
      <c r="E29" s="36">
        <v>1.41</v>
      </c>
      <c r="F29" s="10" t="s">
        <v>9</v>
      </c>
      <c r="G29" s="10" t="s">
        <v>1652</v>
      </c>
      <c r="H29" s="11" t="s">
        <v>1633</v>
      </c>
    </row>
    <row r="30" spans="1:9" s="10" customFormat="1" x14ac:dyDescent="0.25">
      <c r="A30" s="11" t="s">
        <v>1623</v>
      </c>
      <c r="B30" s="91" t="s">
        <v>151</v>
      </c>
      <c r="C30" s="32" t="s">
        <v>36</v>
      </c>
      <c r="D30" s="90" t="s">
        <v>89</v>
      </c>
      <c r="E30" s="36">
        <v>0.9</v>
      </c>
      <c r="F30" s="10" t="s">
        <v>9</v>
      </c>
      <c r="G30" s="10" t="s">
        <v>152</v>
      </c>
      <c r="H30" s="11" t="s">
        <v>1633</v>
      </c>
    </row>
    <row r="31" spans="1:9" s="8" customFormat="1" x14ac:dyDescent="0.25">
      <c r="A31" s="11" t="s">
        <v>1623</v>
      </c>
      <c r="B31" s="32" t="s">
        <v>34</v>
      </c>
      <c r="C31" s="32" t="s">
        <v>36</v>
      </c>
      <c r="D31" s="32" t="s">
        <v>35</v>
      </c>
      <c r="E31" s="33">
        <f>6.22-0.9</f>
        <v>5.3199999999999994</v>
      </c>
      <c r="F31" s="8" t="s">
        <v>9</v>
      </c>
      <c r="G31" s="8" t="s">
        <v>1653</v>
      </c>
      <c r="H31" s="8" t="s">
        <v>1654</v>
      </c>
    </row>
    <row r="32" spans="1:9" s="8" customFormat="1" x14ac:dyDescent="0.25">
      <c r="A32" s="11" t="s">
        <v>1623</v>
      </c>
      <c r="B32" s="32" t="s">
        <v>121</v>
      </c>
      <c r="C32" s="32" t="s">
        <v>36</v>
      </c>
      <c r="D32" s="32" t="s">
        <v>6</v>
      </c>
      <c r="E32" s="33">
        <f>3.39+4.13+1+1.36+0.35+1.51+0.11+0.19+0.08+1</f>
        <v>13.119999999999997</v>
      </c>
      <c r="F32" s="8" t="s">
        <v>43</v>
      </c>
      <c r="G32" s="8" t="s">
        <v>1655</v>
      </c>
      <c r="H32" s="11" t="s">
        <v>1633</v>
      </c>
    </row>
    <row r="33" spans="1:8" x14ac:dyDescent="0.25">
      <c r="A33" s="11" t="s">
        <v>1623</v>
      </c>
      <c r="B33" s="32" t="s">
        <v>108</v>
      </c>
      <c r="C33" s="40" t="s">
        <v>36</v>
      </c>
      <c r="D33" s="32" t="s">
        <v>89</v>
      </c>
      <c r="E33" s="34">
        <v>0.13</v>
      </c>
      <c r="F33" t="s">
        <v>9</v>
      </c>
      <c r="G33" t="s">
        <v>1656</v>
      </c>
      <c r="H33" s="40" t="s">
        <v>1641</v>
      </c>
    </row>
    <row r="34" spans="1:8" x14ac:dyDescent="0.25">
      <c r="A34" s="11" t="s">
        <v>1623</v>
      </c>
      <c r="B34" s="32" t="s">
        <v>90</v>
      </c>
      <c r="C34" s="40" t="s">
        <v>36</v>
      </c>
      <c r="D34" s="32" t="s">
        <v>91</v>
      </c>
      <c r="E34" s="34">
        <v>0.17</v>
      </c>
      <c r="F34" s="18" t="s">
        <v>9</v>
      </c>
      <c r="G34" s="18" t="s">
        <v>1657</v>
      </c>
      <c r="H34" s="40" t="s">
        <v>1642</v>
      </c>
    </row>
    <row r="35" spans="1:8" x14ac:dyDescent="0.25">
      <c r="A35" s="11" t="s">
        <v>1623</v>
      </c>
      <c r="B35" s="32" t="s">
        <v>33</v>
      </c>
      <c r="C35" s="32" t="s">
        <v>36</v>
      </c>
      <c r="D35" s="32" t="s">
        <v>119</v>
      </c>
      <c r="E35" s="42">
        <f>27101/5280</f>
        <v>5.1327651515151516</v>
      </c>
      <c r="F35" s="8" t="s">
        <v>28</v>
      </c>
      <c r="G35" s="8" t="s">
        <v>1658</v>
      </c>
      <c r="H35" s="8" t="s">
        <v>44</v>
      </c>
    </row>
    <row r="36" spans="1:8" s="9" customFormat="1" x14ac:dyDescent="0.25">
      <c r="A36" s="11" t="s">
        <v>1623</v>
      </c>
      <c r="B36" s="32" t="s">
        <v>39</v>
      </c>
      <c r="C36" s="32" t="s">
        <v>36</v>
      </c>
      <c r="D36" s="32" t="s">
        <v>119</v>
      </c>
      <c r="E36" s="42">
        <f>5808/5280</f>
        <v>1.1000000000000001</v>
      </c>
      <c r="F36" s="8" t="s">
        <v>28</v>
      </c>
      <c r="G36" s="18" t="s">
        <v>160</v>
      </c>
      <c r="H36" s="11" t="s">
        <v>1633</v>
      </c>
    </row>
    <row r="37" spans="1:8" s="25" customFormat="1" x14ac:dyDescent="0.25">
      <c r="A37" s="11" t="s">
        <v>1623</v>
      </c>
      <c r="B37" s="32" t="s">
        <v>1659</v>
      </c>
      <c r="C37" s="32" t="s">
        <v>36</v>
      </c>
      <c r="D37" s="32" t="s">
        <v>110</v>
      </c>
      <c r="E37" s="42">
        <f>(2586+797)/5280</f>
        <v>0.64071969696969699</v>
      </c>
      <c r="F37" s="18" t="s">
        <v>232</v>
      </c>
      <c r="G37" s="18" t="s">
        <v>1660</v>
      </c>
      <c r="H37" s="11" t="s">
        <v>1633</v>
      </c>
    </row>
    <row r="38" spans="1:8" s="8" customFormat="1" x14ac:dyDescent="0.25">
      <c r="A38" s="11" t="s">
        <v>1623</v>
      </c>
      <c r="B38" s="8" t="s">
        <v>1735</v>
      </c>
      <c r="C38" s="8" t="s">
        <v>36</v>
      </c>
      <c r="D38" s="18" t="s">
        <v>119</v>
      </c>
      <c r="E38" s="37">
        <f>(5384+502)/5280</f>
        <v>1.1147727272727272</v>
      </c>
      <c r="F38" s="8" t="s">
        <v>28</v>
      </c>
      <c r="G38" s="8" t="s">
        <v>161</v>
      </c>
      <c r="H38" s="11" t="s">
        <v>1633</v>
      </c>
    </row>
    <row r="39" spans="1:8" x14ac:dyDescent="0.25">
      <c r="A39" s="11" t="s">
        <v>1623</v>
      </c>
      <c r="B39" s="18" t="s">
        <v>109</v>
      </c>
      <c r="C39" s="18" t="s">
        <v>36</v>
      </c>
      <c r="D39" s="18" t="s">
        <v>110</v>
      </c>
      <c r="E39" s="20">
        <v>5.21</v>
      </c>
      <c r="F39" s="18" t="s">
        <v>9</v>
      </c>
      <c r="G39" s="18" t="s">
        <v>1661</v>
      </c>
      <c r="H39" s="11" t="s">
        <v>1633</v>
      </c>
    </row>
    <row r="40" spans="1:8" s="25" customFormat="1" x14ac:dyDescent="0.25">
      <c r="A40" s="11" t="s">
        <v>1623</v>
      </c>
      <c r="B40" s="18" t="s">
        <v>111</v>
      </c>
      <c r="C40" s="18" t="s">
        <v>12</v>
      </c>
      <c r="D40" s="18" t="s">
        <v>112</v>
      </c>
      <c r="E40" s="20">
        <v>1.84</v>
      </c>
      <c r="F40" s="18" t="s">
        <v>9</v>
      </c>
      <c r="G40" s="25" t="s">
        <v>1662</v>
      </c>
      <c r="H40" s="11" t="s">
        <v>1633</v>
      </c>
    </row>
    <row r="41" spans="1:8" s="8" customFormat="1" x14ac:dyDescent="0.25">
      <c r="A41" s="11" t="s">
        <v>1623</v>
      </c>
      <c r="B41" s="8" t="s">
        <v>38</v>
      </c>
      <c r="C41" s="8" t="s">
        <v>12</v>
      </c>
      <c r="D41" s="8" t="s">
        <v>119</v>
      </c>
      <c r="E41" s="37">
        <v>6.5</v>
      </c>
      <c r="F41" s="8" t="s">
        <v>28</v>
      </c>
      <c r="G41" s="8" t="s">
        <v>1663</v>
      </c>
      <c r="H41" s="8" t="s">
        <v>162</v>
      </c>
    </row>
    <row r="42" spans="1:8" s="25" customFormat="1" x14ac:dyDescent="0.25">
      <c r="A42" s="11" t="s">
        <v>1623</v>
      </c>
      <c r="B42" s="18" t="s">
        <v>113</v>
      </c>
      <c r="C42" s="18" t="s">
        <v>12</v>
      </c>
      <c r="D42" s="18" t="s">
        <v>143</v>
      </c>
      <c r="E42" s="20">
        <v>0.56000000000000005</v>
      </c>
      <c r="F42" s="18" t="s">
        <v>154</v>
      </c>
      <c r="G42" s="18" t="s">
        <v>1666</v>
      </c>
      <c r="H42" s="18" t="s">
        <v>145</v>
      </c>
    </row>
    <row r="43" spans="1:8" s="25" customFormat="1" x14ac:dyDescent="0.25">
      <c r="A43" s="11" t="s">
        <v>1623</v>
      </c>
      <c r="B43" s="18" t="s">
        <v>114</v>
      </c>
      <c r="C43" s="18" t="s">
        <v>12</v>
      </c>
      <c r="D43" s="18" t="s">
        <v>143</v>
      </c>
      <c r="E43" s="20">
        <v>0.16</v>
      </c>
      <c r="F43" s="18" t="s">
        <v>154</v>
      </c>
      <c r="G43" s="18" t="s">
        <v>1667</v>
      </c>
      <c r="H43" s="18" t="s">
        <v>1665</v>
      </c>
    </row>
    <row r="44" spans="1:8" s="25" customFormat="1" x14ac:dyDescent="0.25">
      <c r="A44" s="11" t="s">
        <v>1623</v>
      </c>
      <c r="B44" s="18" t="s">
        <v>115</v>
      </c>
      <c r="C44" s="18" t="s">
        <v>12</v>
      </c>
      <c r="D44" s="18" t="s">
        <v>118</v>
      </c>
      <c r="E44" s="20">
        <v>0.62</v>
      </c>
      <c r="F44" s="18" t="s">
        <v>154</v>
      </c>
      <c r="G44" s="18" t="s">
        <v>1668</v>
      </c>
      <c r="H44" s="18" t="s">
        <v>1665</v>
      </c>
    </row>
    <row r="45" spans="1:8" s="25" customFormat="1" x14ac:dyDescent="0.25">
      <c r="A45" s="11" t="s">
        <v>1623</v>
      </c>
      <c r="B45" s="18" t="s">
        <v>144</v>
      </c>
      <c r="C45" s="18" t="s">
        <v>12</v>
      </c>
      <c r="D45" s="18" t="s">
        <v>143</v>
      </c>
      <c r="E45" s="20">
        <v>0.38</v>
      </c>
      <c r="F45" s="18" t="s">
        <v>154</v>
      </c>
      <c r="G45" s="18" t="s">
        <v>1664</v>
      </c>
      <c r="H45" s="18" t="s">
        <v>1665</v>
      </c>
    </row>
    <row r="46" spans="1:8" s="25" customFormat="1" x14ac:dyDescent="0.25">
      <c r="A46" s="11" t="s">
        <v>1623</v>
      </c>
      <c r="B46" s="18" t="s">
        <v>116</v>
      </c>
      <c r="C46" s="18" t="s">
        <v>12</v>
      </c>
      <c r="D46" s="18" t="s">
        <v>143</v>
      </c>
      <c r="E46" s="20">
        <v>0.38</v>
      </c>
      <c r="F46" s="18" t="s">
        <v>154</v>
      </c>
      <c r="G46" s="18" t="s">
        <v>1669</v>
      </c>
      <c r="H46" s="18" t="s">
        <v>145</v>
      </c>
    </row>
    <row r="47" spans="1:8" s="25" customFormat="1" x14ac:dyDescent="0.25">
      <c r="A47" s="11" t="s">
        <v>1623</v>
      </c>
      <c r="B47" s="18" t="s">
        <v>117</v>
      </c>
      <c r="C47" s="18" t="s">
        <v>12</v>
      </c>
      <c r="D47" s="18" t="s">
        <v>118</v>
      </c>
      <c r="E47" s="20">
        <v>0.22</v>
      </c>
      <c r="F47" s="18" t="s">
        <v>9</v>
      </c>
      <c r="G47" s="18" t="s">
        <v>163</v>
      </c>
      <c r="H47" s="11" t="s">
        <v>1633</v>
      </c>
    </row>
    <row r="48" spans="1:8" s="18" customFormat="1" x14ac:dyDescent="0.25">
      <c r="A48" s="11" t="s">
        <v>1623</v>
      </c>
      <c r="B48" s="18" t="s">
        <v>122</v>
      </c>
      <c r="C48" s="18" t="s">
        <v>62</v>
      </c>
      <c r="D48" s="18" t="s">
        <v>6</v>
      </c>
      <c r="E48" s="12">
        <v>4.42</v>
      </c>
      <c r="F48" s="18" t="s">
        <v>123</v>
      </c>
      <c r="G48" s="18" t="s">
        <v>1670</v>
      </c>
      <c r="H48" s="11" t="s">
        <v>1643</v>
      </c>
    </row>
    <row r="49" spans="1:8" s="18" customFormat="1" x14ac:dyDescent="0.25">
      <c r="A49" s="11" t="s">
        <v>1623</v>
      </c>
      <c r="B49" s="23" t="s">
        <v>139</v>
      </c>
      <c r="C49" s="18" t="s">
        <v>63</v>
      </c>
      <c r="D49" s="32" t="s">
        <v>126</v>
      </c>
      <c r="E49" s="12">
        <v>0.26</v>
      </c>
      <c r="F49" s="18" t="s">
        <v>9</v>
      </c>
      <c r="G49" s="18" t="s">
        <v>164</v>
      </c>
      <c r="H49" s="18" t="s">
        <v>1644</v>
      </c>
    </row>
    <row r="50" spans="1:8" s="18" customFormat="1" x14ac:dyDescent="0.25">
      <c r="B50" s="23"/>
      <c r="H50" s="11"/>
    </row>
    <row r="51" spans="1:8" x14ac:dyDescent="0.25">
      <c r="D51" s="7" t="s">
        <v>11</v>
      </c>
      <c r="E51" s="41">
        <f>SUM(E2:E49)</f>
        <v>61.603446969696982</v>
      </c>
      <c r="F51" s="39">
        <f>E51/122.57</f>
        <v>0.50259808248100668</v>
      </c>
    </row>
    <row r="54" spans="1:8" x14ac:dyDescent="0.25">
      <c r="A54" s="66" t="s">
        <v>296</v>
      </c>
      <c r="B54" s="66" t="s">
        <v>1404</v>
      </c>
    </row>
    <row r="55" spans="1:8" x14ac:dyDescent="0.25">
      <c r="A55" s="66"/>
      <c r="B55" s="66" t="s">
        <v>1734</v>
      </c>
    </row>
    <row r="56" spans="1:8" x14ac:dyDescent="0.25">
      <c r="A56" s="66"/>
      <c r="B56" s="66" t="s">
        <v>2358</v>
      </c>
    </row>
    <row r="57" spans="1:8" x14ac:dyDescent="0.25">
      <c r="A57" s="25"/>
      <c r="B57" s="66" t="s">
        <v>2361</v>
      </c>
    </row>
    <row r="58" spans="1:8" x14ac:dyDescent="0.25">
      <c r="A58" s="25"/>
      <c r="B58" s="70" t="s">
        <v>2359</v>
      </c>
    </row>
    <row r="59" spans="1:8" x14ac:dyDescent="0.25">
      <c r="A59" s="25"/>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Totals</vt:lpstr>
      <vt:lpstr>ME</vt:lpstr>
      <vt:lpstr>NH</vt:lpstr>
      <vt:lpstr>MA</vt:lpstr>
      <vt:lpstr>RI</vt:lpstr>
      <vt:lpstr>CT</vt:lpstr>
      <vt:lpstr>NY - LIS</vt:lpstr>
      <vt:lpstr>NY - PECONIC</vt:lpstr>
      <vt:lpstr>NY - ATLANTIC</vt:lpstr>
      <vt:lpstr>NJ</vt:lpstr>
      <vt:lpstr>DE</vt:lpstr>
      <vt:lpstr>MD</vt:lpstr>
      <vt:lpstr>VA</vt:lpstr>
      <vt:lpstr>NC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Tracy Monegan Rice</dc:creator>
  <cp:lastModifiedBy>Tracy Monegan Rice</cp:lastModifiedBy>
  <dcterms:created xsi:type="dcterms:W3CDTF">2012-01-17T18:03:42Z</dcterms:created>
  <dcterms:modified xsi:type="dcterms:W3CDTF">2017-03-20T14:04:40Z</dcterms:modified>
</cp:coreProperties>
</file>