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rraqueous\PIPL NORTHEAST SANDY SURVEY\NY to ME Beaches Phase 1\FINAL FILES\"/>
    </mc:Choice>
  </mc:AlternateContent>
  <bookViews>
    <workbookView xWindow="480" yWindow="270" windowWidth="19155" windowHeight="6990" activeTab="7"/>
  </bookViews>
  <sheets>
    <sheet name="MAINE" sheetId="1" r:id="rId1"/>
    <sheet name="NH" sheetId="2" r:id="rId2"/>
    <sheet name="MASS" sheetId="3" r:id="rId3"/>
    <sheet name="RI" sheetId="4" r:id="rId4"/>
    <sheet name="CT" sheetId="5" r:id="rId5"/>
    <sheet name="NY - LIS" sheetId="6" r:id="rId6"/>
    <sheet name="NY - PECONIC" sheetId="7" r:id="rId7"/>
    <sheet name="Total" sheetId="8" r:id="rId8"/>
  </sheets>
  <calcPr calcId="152511"/>
</workbook>
</file>

<file path=xl/calcChain.xml><?xml version="1.0" encoding="utf-8"?>
<calcChain xmlns="http://schemas.openxmlformats.org/spreadsheetml/2006/main">
  <c r="E4" i="3" l="1"/>
  <c r="E41" i="4" l="1"/>
  <c r="E47" i="4" l="1"/>
  <c r="E48" i="4"/>
  <c r="E285" i="3" l="1"/>
  <c r="E38" i="6" l="1"/>
  <c r="E251" i="3" l="1"/>
  <c r="E4" i="8" l="1"/>
  <c r="E3" i="8"/>
  <c r="E2" i="8"/>
  <c r="E26" i="8"/>
  <c r="E25" i="8"/>
  <c r="E18" i="8"/>
  <c r="E17" i="8"/>
  <c r="J28" i="8" l="1"/>
  <c r="K28" i="8"/>
  <c r="J25" i="8"/>
  <c r="K25" i="8" s="1"/>
  <c r="J20" i="8"/>
  <c r="K20" i="8" s="1"/>
  <c r="J17" i="8"/>
  <c r="J6" i="8"/>
  <c r="K6" i="8" s="1"/>
  <c r="J2" i="8"/>
  <c r="E23" i="8"/>
  <c r="E22" i="8"/>
  <c r="E21" i="8"/>
  <c r="E20" i="8"/>
  <c r="H23" i="8"/>
  <c r="H22" i="8"/>
  <c r="H21" i="8"/>
  <c r="H20" i="8"/>
  <c r="E28" i="8"/>
  <c r="H28" i="8"/>
  <c r="H26" i="8"/>
  <c r="H25" i="8"/>
  <c r="H18" i="8"/>
  <c r="H17" i="8"/>
  <c r="E6" i="8"/>
  <c r="H6" i="8"/>
  <c r="H4" i="8"/>
  <c r="H3" i="8"/>
  <c r="H2" i="8"/>
  <c r="F30" i="8"/>
  <c r="I30" i="8"/>
  <c r="C10" i="8"/>
  <c r="E69" i="5"/>
  <c r="E68" i="5"/>
  <c r="E67" i="5"/>
  <c r="E66" i="5"/>
  <c r="J8" i="8" l="1"/>
  <c r="K8" i="8" s="1"/>
  <c r="C30" i="8"/>
  <c r="K2" i="8"/>
  <c r="K17" i="8"/>
  <c r="E65" i="5"/>
  <c r="E64" i="5"/>
  <c r="E63" i="5"/>
  <c r="E62" i="5"/>
  <c r="E59" i="5"/>
  <c r="E61" i="5"/>
  <c r="E60" i="5"/>
  <c r="E58" i="5"/>
  <c r="E57" i="5"/>
  <c r="E56" i="5"/>
  <c r="E55" i="5"/>
  <c r="E54" i="5"/>
  <c r="E53" i="5"/>
  <c r="J30" i="8" l="1"/>
  <c r="K30" i="8" s="1"/>
  <c r="E52" i="5"/>
  <c r="E51" i="5"/>
  <c r="E50" i="5"/>
  <c r="E49" i="5"/>
  <c r="E48" i="5"/>
  <c r="E47" i="5" l="1"/>
  <c r="E46" i="5"/>
  <c r="E45" i="5"/>
  <c r="E44" i="5"/>
  <c r="E43" i="5"/>
  <c r="E42" i="5"/>
  <c r="E41" i="5"/>
  <c r="E40" i="5"/>
  <c r="E39" i="5"/>
  <c r="E38" i="5" l="1"/>
  <c r="E37" i="5"/>
  <c r="E36" i="5"/>
  <c r="E35" i="5"/>
  <c r="E34" i="5"/>
  <c r="E33" i="5"/>
  <c r="E32" i="5"/>
  <c r="E31" i="5" l="1"/>
  <c r="E30" i="5"/>
  <c r="E29" i="5"/>
  <c r="E28" i="5"/>
  <c r="E27" i="5"/>
  <c r="E26" i="5" l="1"/>
  <c r="E25" i="5"/>
  <c r="E24" i="5"/>
  <c r="E23" i="5"/>
  <c r="E22" i="5"/>
  <c r="E21" i="5" l="1"/>
  <c r="E20" i="5"/>
  <c r="E19" i="5"/>
  <c r="E17" i="5" l="1"/>
  <c r="E16" i="5" l="1"/>
  <c r="E15" i="5"/>
  <c r="E14" i="5"/>
  <c r="E13" i="5"/>
  <c r="E12" i="5"/>
  <c r="E11" i="5"/>
  <c r="E10" i="5"/>
  <c r="E9" i="5"/>
  <c r="E8" i="5"/>
  <c r="E7" i="5"/>
  <c r="E6" i="5"/>
  <c r="E5" i="5"/>
  <c r="E4" i="5"/>
  <c r="E3" i="5"/>
  <c r="E2" i="5"/>
  <c r="E71" i="5" l="1"/>
  <c r="E72" i="5" s="1"/>
  <c r="E297" i="3"/>
  <c r="E291" i="3"/>
  <c r="E290" i="3"/>
  <c r="E273" i="3"/>
  <c r="E274" i="3"/>
  <c r="E269" i="3" l="1"/>
  <c r="E266" i="3"/>
  <c r="E265" i="3"/>
  <c r="E263" i="3"/>
  <c r="E271" i="3"/>
  <c r="E260" i="3"/>
  <c r="E259" i="3"/>
  <c r="E258" i="3"/>
  <c r="E255" i="3"/>
  <c r="E254" i="3"/>
  <c r="E252" i="3"/>
  <c r="E250" i="3"/>
  <c r="E249" i="3"/>
  <c r="E239" i="3"/>
  <c r="E233" i="3"/>
  <c r="E158" i="3" l="1"/>
  <c r="E123" i="3" l="1"/>
  <c r="E112" i="3"/>
  <c r="E100" i="3" l="1"/>
  <c r="E97" i="3"/>
  <c r="E59" i="4" l="1"/>
  <c r="E64" i="4"/>
  <c r="E63" i="4"/>
  <c r="E62" i="4"/>
  <c r="E78" i="4"/>
  <c r="E68" i="4"/>
  <c r="E77" i="4"/>
  <c r="E75" i="4"/>
  <c r="E76" i="4"/>
  <c r="E71" i="4"/>
  <c r="E74" i="4"/>
  <c r="E73" i="4"/>
  <c r="E72" i="4"/>
  <c r="E70" i="4"/>
  <c r="E69" i="4"/>
  <c r="E66" i="4"/>
  <c r="E67" i="4"/>
  <c r="E65" i="4"/>
  <c r="E61" i="4"/>
  <c r="E60" i="4"/>
  <c r="E58" i="4"/>
  <c r="E57" i="4"/>
  <c r="E56" i="4"/>
  <c r="E55" i="4"/>
  <c r="E54" i="4"/>
  <c r="E53" i="4"/>
  <c r="E52" i="4"/>
  <c r="E51" i="4"/>
  <c r="E50" i="4" l="1"/>
  <c r="E49" i="4"/>
  <c r="E46" i="4"/>
  <c r="E45" i="4"/>
  <c r="E44" i="4"/>
  <c r="E43" i="4"/>
  <c r="E42" i="4"/>
  <c r="E40" i="4"/>
  <c r="E39" i="4"/>
  <c r="E38" i="4"/>
  <c r="E37" i="4"/>
  <c r="E35" i="4"/>
  <c r="E36" i="4"/>
  <c r="E34" i="4"/>
  <c r="E33" i="4"/>
  <c r="E32" i="4"/>
  <c r="E31" i="4"/>
  <c r="E30" i="4"/>
  <c r="E29" i="4"/>
  <c r="E28" i="4"/>
  <c r="E27" i="4"/>
  <c r="E26" i="4"/>
  <c r="E25" i="4"/>
  <c r="E24" i="4"/>
  <c r="E23" i="4"/>
  <c r="E22" i="4"/>
  <c r="E21" i="4"/>
  <c r="E20" i="4"/>
  <c r="E18" i="4"/>
  <c r="E19" i="4"/>
  <c r="E17" i="4"/>
  <c r="E16" i="4"/>
  <c r="E15" i="4"/>
  <c r="E14" i="4"/>
  <c r="E13" i="4"/>
  <c r="E12" i="4"/>
  <c r="E11" i="4"/>
  <c r="E10" i="4"/>
  <c r="E9" i="4"/>
  <c r="E8" i="4"/>
  <c r="E7" i="4"/>
  <c r="E2" i="4"/>
  <c r="E3" i="4"/>
  <c r="E6" i="4" l="1"/>
  <c r="E5" i="4"/>
  <c r="E4" i="4"/>
  <c r="E82" i="4" s="1"/>
  <c r="E83" i="4" s="1"/>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 r="E72" i="6"/>
  <c r="E71" i="6"/>
  <c r="E70" i="6"/>
  <c r="E69" i="6"/>
  <c r="E68" i="6"/>
  <c r="E67" i="6"/>
  <c r="E66" i="6"/>
  <c r="E65" i="6"/>
  <c r="E64" i="6"/>
  <c r="E63" i="6"/>
  <c r="E62" i="6"/>
  <c r="E61" i="6"/>
  <c r="E60" i="6"/>
  <c r="E59" i="6"/>
  <c r="E58" i="6"/>
  <c r="E57" i="6"/>
  <c r="E56" i="6"/>
  <c r="E54" i="6"/>
  <c r="E53" i="6"/>
  <c r="E52" i="6"/>
  <c r="E51" i="6"/>
  <c r="E50" i="6"/>
  <c r="E49" i="6"/>
  <c r="E48" i="6"/>
  <c r="E47" i="6"/>
  <c r="E46" i="6"/>
  <c r="E45" i="6"/>
  <c r="E44" i="6"/>
  <c r="E43" i="6"/>
  <c r="E42" i="6"/>
  <c r="E41" i="6"/>
  <c r="E39" i="6"/>
  <c r="E37" i="6"/>
  <c r="E36" i="6"/>
  <c r="E35" i="6"/>
  <c r="E33" i="6"/>
  <c r="E32" i="6"/>
  <c r="E31" i="6"/>
  <c r="E30" i="6"/>
  <c r="E29" i="6"/>
  <c r="E28" i="6"/>
  <c r="E27" i="6"/>
  <c r="E26" i="6"/>
  <c r="E25" i="6"/>
  <c r="E24" i="6"/>
  <c r="E23" i="6"/>
  <c r="E22" i="6"/>
  <c r="E21" i="6"/>
  <c r="E20" i="6"/>
  <c r="E19" i="6"/>
  <c r="E18" i="6"/>
  <c r="E17" i="6"/>
  <c r="E13" i="6"/>
  <c r="E12" i="6"/>
  <c r="E10" i="6"/>
  <c r="E9" i="6"/>
  <c r="E8" i="6"/>
  <c r="E7" i="6"/>
  <c r="E6" i="6"/>
  <c r="E5" i="6"/>
  <c r="E4" i="6"/>
  <c r="E3" i="6"/>
  <c r="E59" i="3"/>
  <c r="E57" i="3"/>
  <c r="E37" i="3"/>
  <c r="E36" i="3"/>
  <c r="E27" i="3"/>
  <c r="E16" i="3"/>
  <c r="E11" i="3"/>
  <c r="E7" i="3"/>
  <c r="E6" i="3"/>
  <c r="E5" i="3"/>
  <c r="E3" i="3"/>
  <c r="E2" i="3"/>
  <c r="E15" i="2"/>
  <c r="E14" i="2"/>
  <c r="E13" i="2"/>
  <c r="E12" i="2"/>
  <c r="E11" i="2"/>
  <c r="E9" i="2"/>
  <c r="E8" i="2"/>
  <c r="E7" i="2"/>
  <c r="E5" i="2"/>
  <c r="E4" i="2"/>
  <c r="E3" i="2"/>
  <c r="E2" i="2"/>
  <c r="E17" i="2" l="1"/>
  <c r="F17" i="2" s="1"/>
  <c r="E90" i="7"/>
  <c r="E91" i="7" s="1"/>
  <c r="E302" i="3"/>
  <c r="E74" i="6"/>
  <c r="F74" i="6" s="1"/>
  <c r="E45" i="1"/>
  <c r="E44" i="1"/>
  <c r="E43" i="1"/>
  <c r="E42" i="1"/>
  <c r="E41" i="1"/>
  <c r="E40" i="1"/>
  <c r="E37" i="1"/>
  <c r="E36" i="1"/>
  <c r="E35" i="1"/>
  <c r="E31" i="1"/>
  <c r="E29" i="1"/>
  <c r="E25" i="1"/>
  <c r="E28" i="1"/>
  <c r="E24" i="1"/>
  <c r="E23" i="1"/>
  <c r="E21" i="1"/>
  <c r="E19" i="1"/>
  <c r="E20" i="1"/>
  <c r="E18" i="1"/>
  <c r="E17" i="1" l="1"/>
  <c r="E13" i="1"/>
  <c r="E11" i="1"/>
  <c r="E10" i="1"/>
  <c r="E9" i="1"/>
  <c r="E8" i="1"/>
  <c r="E7" i="1"/>
  <c r="E6" i="1"/>
  <c r="E5" i="1"/>
  <c r="E15" i="1"/>
  <c r="E16" i="1"/>
  <c r="E12" i="1"/>
  <c r="E3" i="1"/>
  <c r="E4" i="1"/>
  <c r="E2" i="1"/>
  <c r="E30" i="1" l="1"/>
  <c r="E47" i="1" s="1"/>
  <c r="F47" i="1" s="1"/>
</calcChain>
</file>

<file path=xl/sharedStrings.xml><?xml version="1.0" encoding="utf-8"?>
<sst xmlns="http://schemas.openxmlformats.org/spreadsheetml/2006/main" count="4717" uniqueCount="1616">
  <si>
    <t>State</t>
  </si>
  <si>
    <t>Location</t>
  </si>
  <si>
    <t>County</t>
  </si>
  <si>
    <t>Ownership</t>
  </si>
  <si>
    <t>Type</t>
  </si>
  <si>
    <t>Known Habitat Modifications</t>
  </si>
  <si>
    <t>Source(s)</t>
  </si>
  <si>
    <t>ME</t>
  </si>
  <si>
    <t>NH</t>
  </si>
  <si>
    <t>MA</t>
  </si>
  <si>
    <t>RI</t>
  </si>
  <si>
    <t>CT</t>
  </si>
  <si>
    <t>park</t>
  </si>
  <si>
    <t>Monomoy NWR</t>
  </si>
  <si>
    <t>Cape Cod National Seashore</t>
  </si>
  <si>
    <t>Parker River NWR</t>
  </si>
  <si>
    <t>state of NH</t>
  </si>
  <si>
    <t>North Hampton State Park</t>
  </si>
  <si>
    <t>Sawyers Beach</t>
  </si>
  <si>
    <t>Odiorne Point State Park</t>
  </si>
  <si>
    <t>Ferry Beach State Park</t>
  </si>
  <si>
    <t>Scarborough Beach State Park</t>
  </si>
  <si>
    <t>Crescent Beach State Park</t>
  </si>
  <si>
    <t>Popham Beach State Park</t>
  </si>
  <si>
    <t>Reid State Park</t>
  </si>
  <si>
    <t>Bates-Morse Mountain Conservation Area</t>
  </si>
  <si>
    <t>Bath</t>
  </si>
  <si>
    <t>Small Point Association owns Seawall Beach, the non-profit Bates-Morse Mountain Conservation Area Corporation owns the upland between the Sprague and Morse Rivers behind the beach; TNC has a conservation easement</t>
  </si>
  <si>
    <t>Cumberland</t>
  </si>
  <si>
    <t>Salisbury Beach State Reservation</t>
  </si>
  <si>
    <t>Bassing Beach</t>
  </si>
  <si>
    <t>Norfolk</t>
  </si>
  <si>
    <t>Cohasset Conservation Trust</t>
  </si>
  <si>
    <t>Sandy Point State Reservation</t>
  </si>
  <si>
    <t>Crane Estate</t>
  </si>
  <si>
    <t>The Trustees of Reservations</t>
  </si>
  <si>
    <t>Essex</t>
  </si>
  <si>
    <t>Wingaersheek Beach</t>
  </si>
  <si>
    <t>Town of Rockport</t>
  </si>
  <si>
    <t>Cape Hedge Beach</t>
  </si>
  <si>
    <t>Good Harbor Beach</t>
  </si>
  <si>
    <t>Conservation Park</t>
  </si>
  <si>
    <t>Town of Scituate</t>
  </si>
  <si>
    <t>Plymouth</t>
  </si>
  <si>
    <t>Plymouth Long Beach</t>
  </si>
  <si>
    <t>Town of Plymouth</t>
  </si>
  <si>
    <t>Ellisville Harbor State Park</t>
  </si>
  <si>
    <t>state park</t>
  </si>
  <si>
    <t>Scusset Beach State Reservation</t>
  </si>
  <si>
    <t>MA DCR</t>
  </si>
  <si>
    <t>jetty at Cape Cod Canal</t>
  </si>
  <si>
    <t>Town of Sandwich</t>
  </si>
  <si>
    <t>jetty at Cape Cod Canal; Town of Sandwich groin field overlaps southern end of beach; bulkhead at parking lot at south end</t>
  </si>
  <si>
    <t>Chapin Memorial Beach</t>
  </si>
  <si>
    <t>Barnstable</t>
  </si>
  <si>
    <t>Town of Dennis</t>
  </si>
  <si>
    <t>Sandy Neck</t>
  </si>
  <si>
    <t>Town of Barnstable</t>
  </si>
  <si>
    <t>Cold Storage Beach</t>
  </si>
  <si>
    <t>Nickerson State Park</t>
  </si>
  <si>
    <t>beach fill; dredging of Cotuit Bay Channel at west end to backpass sediment to Dead Neck Island to the east</t>
  </si>
  <si>
    <t>Flax Pond Tidal Wetlands Area</t>
  </si>
  <si>
    <t>Suffolk</t>
  </si>
  <si>
    <t>NY DEC and SUNY Stony Brook</t>
  </si>
  <si>
    <t>Abrams et al. (2008)</t>
  </si>
  <si>
    <t>nature preserve and marine / conservation education center and lab</t>
  </si>
  <si>
    <t>Flax Pond Inlet was artificially created in 1803 and maintained via dredging until dual jetties were built in 1947; historic sand and gravel mining from the beach and inlet; beach and dune fill project in 1997 using 11,000 cy of sediment from overwash deposits on the salt marsh to restore and vegetate a dune / berm at the west end to protect Crane Neck Road from flooding</t>
  </si>
  <si>
    <t>state of Maine</t>
  </si>
  <si>
    <t>USFWS</t>
  </si>
  <si>
    <t>Vaughn's Island Preserve</t>
  </si>
  <si>
    <t>Kennebunkport Conservation Trust</t>
  </si>
  <si>
    <t>Approximate Length of Sandy Beach (miles)</t>
  </si>
  <si>
    <t>Rachel Carson NWR, Goosefare Brook Division</t>
  </si>
  <si>
    <t>Laudholm Farm, Wells NERR</t>
  </si>
  <si>
    <t>NWR</t>
  </si>
  <si>
    <t>nature preserve</t>
  </si>
  <si>
    <t>York</t>
  </si>
  <si>
    <t>jetty on Kennebunk River Inlet at east end; bulkhead along nearly 100% of beach</t>
  </si>
  <si>
    <t>wastewater treatment plant; large parking lots; Norseman Resort building on the beach; revetment at Ogunquit River Inlet and adjacent shoreline</t>
  </si>
  <si>
    <t>Town of Wells</t>
  </si>
  <si>
    <t>Town of Ogunquit</t>
  </si>
  <si>
    <t>Ogunquit Beach</t>
  </si>
  <si>
    <t>Wallis Sands State Park</t>
  </si>
  <si>
    <t>NY - LIS</t>
  </si>
  <si>
    <t>Orient Point County Park</t>
  </si>
  <si>
    <t>Truman's Beach</t>
  </si>
  <si>
    <t>Orient-East Marion Park District</t>
  </si>
  <si>
    <t>Inlet Pond County Park</t>
  </si>
  <si>
    <t>Suffolk County</t>
  </si>
  <si>
    <t>Goldsmith Inlet County Park</t>
  </si>
  <si>
    <t>Hallock State Park Preserve</t>
  </si>
  <si>
    <t>Mattituck Park District</t>
  </si>
  <si>
    <t>state of NY</t>
  </si>
  <si>
    <t>Baiting Hollow Tidal Wetlands Area</t>
  </si>
  <si>
    <t>Wildwood State Park</t>
  </si>
  <si>
    <t>1 groin; revetment and building with bulkhead on the beach below bluff</t>
  </si>
  <si>
    <t>public beach</t>
  </si>
  <si>
    <t>jetty at Mt. Sinai Inlet at west end; huge parking lots at east end; large parking lots, docks and marinas on harbor side of spit; possible backpassing of sediment from jetty fillet to in front of parking lots at east end (in progress in 19Sept2013 imagery)</t>
  </si>
  <si>
    <t>Nissequogue Preserve</t>
  </si>
  <si>
    <t>Village of Nissequogue</t>
  </si>
  <si>
    <t>Short Beach</t>
  </si>
  <si>
    <t>Sunken Meadow State Park</t>
  </si>
  <si>
    <t>Crab Meadow Beach Park</t>
  </si>
  <si>
    <t>Town of Huntington</t>
  </si>
  <si>
    <t>Caumsett State Historic Park Preserve</t>
  </si>
  <si>
    <t>Lloyd Harbor Park</t>
  </si>
  <si>
    <t>Laurel Hollow Beach</t>
  </si>
  <si>
    <t>Village of Laurel Hollow</t>
  </si>
  <si>
    <t>Oyster Bay NWR / Sagamore Hill National Historic Site</t>
  </si>
  <si>
    <t>Welwyn Preserve County Park</t>
  </si>
  <si>
    <t>Nassau County</t>
  </si>
  <si>
    <t>USFWS, NPS</t>
  </si>
  <si>
    <t>Garvies Point Museum &amp; Preserve</t>
  </si>
  <si>
    <t>North Hempstead Beach Park</t>
  </si>
  <si>
    <t>Town of North Hempstead</t>
  </si>
  <si>
    <t>Long Beach Town Park</t>
  </si>
  <si>
    <t>large parking lots; 1 groin</t>
  </si>
  <si>
    <t>The David Weld Sanctuary</t>
  </si>
  <si>
    <t>TNC</t>
  </si>
  <si>
    <t>Nassau</t>
  </si>
  <si>
    <t>Geisslers Beach Park</t>
  </si>
  <si>
    <t>Jerome A. Ambro Memorial Wetland Preserve</t>
  </si>
  <si>
    <t>Kirschbaum Park</t>
  </si>
  <si>
    <t>jetty at Crab Meadow Inlet; groin at west boundary; large parking lots and recreational facilities</t>
  </si>
  <si>
    <t>cooling pond/lagoon for power plant with stabilized outlet to Long Island Sound on west boundary</t>
  </si>
  <si>
    <t>passive park</t>
  </si>
  <si>
    <t>Soundview Beach</t>
  </si>
  <si>
    <t>West Neck Beach</t>
  </si>
  <si>
    <t>Target Rock NWR</t>
  </si>
  <si>
    <t>USCG</t>
  </si>
  <si>
    <t>US Coast Guard base</t>
  </si>
  <si>
    <t>USCG Station Eatons Neck</t>
  </si>
  <si>
    <t>5 groins (along 910' of beach), rock revetment (~1217'), large parking lot at north end</t>
  </si>
  <si>
    <t>Crescent Beach Town Park</t>
  </si>
  <si>
    <t>bulkhead along entire beach; 2 groins, one at each end of beach</t>
  </si>
  <si>
    <t>USFWS owns bay bottom to MHW; NPS owns Sagamore Hill NHS upland</t>
  </si>
  <si>
    <t>USFWS (2006)</t>
  </si>
  <si>
    <t>state park preserve</t>
  </si>
  <si>
    <t>2 groins, 1 revetment (~440')</t>
  </si>
  <si>
    <t>total park shoreline length ~0.38 miles but only 0.31 of sandy beach in March 2012; revetment (~155'), 2 groins, 2 breakwaters (~300 &amp; ~170'), other groins and revetment adjacent at south end</t>
  </si>
  <si>
    <t>1 groin at north end; large parking lot at north end</t>
  </si>
  <si>
    <t>jetty at east end</t>
  </si>
  <si>
    <t>Soundside Beach Park</t>
  </si>
  <si>
    <t>large parking lot, recreational facilities</t>
  </si>
  <si>
    <t>seawall along entire length; 1 groin; parking lot and recreational facilities on top of seawall</t>
  </si>
  <si>
    <t>Town of Oyster Bay</t>
  </si>
  <si>
    <t>unnamed beach in Locust Valley</t>
  </si>
  <si>
    <t>Village of Locust Valley</t>
  </si>
  <si>
    <t>Stehli Beach (in Lattingtown)</t>
  </si>
  <si>
    <t>seawall along entire length; 3 groins; parking lot and recreational facilities on top of seawall</t>
  </si>
  <si>
    <t>USACE breakwater, 2 groins, seawall at north end; Glen Cove Yacht Club piers at south end</t>
  </si>
  <si>
    <t>5 groins, seawall / bulkhead along nearly entire shoreline</t>
  </si>
  <si>
    <t>development on top of bluff adjacent to preserve; 2 groins; groins at southern end at adjacent Hempstead Harbour Club</t>
  </si>
  <si>
    <t>revetment and bulkhead at north end; bulkhead at south end perpendicular to beach; large parking lots; beach raking</t>
  </si>
  <si>
    <t>Sea Cliff Municipal Beach</t>
  </si>
  <si>
    <t>Village of Sea Cliff</t>
  </si>
  <si>
    <t>Harry Tappen Beach</t>
  </si>
  <si>
    <t>2 groins, seawall / bulkhead (~800')</t>
  </si>
  <si>
    <t>public beach, park</t>
  </si>
  <si>
    <t>3 groins, revetment at Hempstead Harbor Inlet, bulkhead; no beach at north end in Nov. 2011; very large parking lots, recreational facilities</t>
  </si>
  <si>
    <t>Sands Point Preserve</t>
  </si>
  <si>
    <t>Friends of the Sands Point Preserve (http://thesandspointpreserve.com/the-historic-estate/nature-grounds/)</t>
  </si>
  <si>
    <t>historical estate, nature preserve</t>
  </si>
  <si>
    <t>Friends of the Sands Point Preserve, Nassau County</t>
  </si>
  <si>
    <t>7 groins; revetment (~180'); historically a concrete seawall lined the entire beach, but it has not been maintained and several sections have failed</t>
  </si>
  <si>
    <t>Plum Island</t>
  </si>
  <si>
    <t>US Dept. of Homeland Security</t>
  </si>
  <si>
    <t>12 groins, 2 jetties</t>
  </si>
  <si>
    <t>2 groins and revetment at tip of Point</t>
  </si>
  <si>
    <t>NY - Peconic</t>
  </si>
  <si>
    <t>parking lots at south end</t>
  </si>
  <si>
    <t>animal disease research facility</t>
  </si>
  <si>
    <t>developed with lighthouse and associated structures, small parking lot</t>
  </si>
  <si>
    <t>Horton's Point Lighthouse Park</t>
  </si>
  <si>
    <t>Southold Park District</t>
  </si>
  <si>
    <t>Town Beach</t>
  </si>
  <si>
    <t>Town of Southold</t>
  </si>
  <si>
    <t>large parking lot area</t>
  </si>
  <si>
    <t xml:space="preserve">McCabe's Beach </t>
  </si>
  <si>
    <t>large parking lot</t>
  </si>
  <si>
    <t>Kenney's Beach</t>
  </si>
  <si>
    <t>Goldsmith Inlet Park</t>
  </si>
  <si>
    <t>4-H camp, park</t>
  </si>
  <si>
    <t>dredging at Goldsmith Inlet at south end</t>
  </si>
  <si>
    <t>jetty at Goldsmith Inlet, dredging of the inlet, parking lot</t>
  </si>
  <si>
    <t>Peconic Dunes County Park / 4-H Camp</t>
  </si>
  <si>
    <t>jetty at Mattituck Inlet at west end</t>
  </si>
  <si>
    <t>jetty at Mattituck Inelt at east end</t>
  </si>
  <si>
    <t>Breakwater Park</t>
  </si>
  <si>
    <t>Bailie's Beach Park</t>
  </si>
  <si>
    <t>state park, nature preserve</t>
  </si>
  <si>
    <t>public beach, park, boat access</t>
  </si>
  <si>
    <t>3 groins, boat ramp to Long Island Sound, parking lot</t>
  </si>
  <si>
    <t>Town of Riverhead</t>
  </si>
  <si>
    <t>Iron Pier Beach</t>
  </si>
  <si>
    <t>Howard M. Reeve Park</t>
  </si>
  <si>
    <t>bulkhead along most of beach (~200')</t>
  </si>
  <si>
    <t>groin field immediately to east, bulkhead immediately to west</t>
  </si>
  <si>
    <t>Wading River Beach</t>
  </si>
  <si>
    <t>1 groin; 200' bulkhead fronting parking lot along nearly entire beach</t>
  </si>
  <si>
    <t>Shoreham Beach</t>
  </si>
  <si>
    <t>Town of Brookhaven</t>
  </si>
  <si>
    <t>park, public beach</t>
  </si>
  <si>
    <t>dual jetties at east end at LILCO lagoon</t>
  </si>
  <si>
    <t>????</t>
  </si>
  <si>
    <t>unknown county park/preserve at end of Seacliff Lane in Miller Place</t>
  </si>
  <si>
    <t>Suffolk County, Town of Southold</t>
  </si>
  <si>
    <t>Sound View Dunes Park</t>
  </si>
  <si>
    <t>private residence and associated structures including 310 ft of bulkhead removed in 2009</t>
  </si>
  <si>
    <t>nature preserve, passive park</t>
  </si>
  <si>
    <t>Cedar Beach</t>
  </si>
  <si>
    <t>Village of Port Jefferson</t>
  </si>
  <si>
    <t>Village of Port Jefferson Public Beach</t>
  </si>
  <si>
    <t>jetty at Mt. Sinai Harbor at east end; eastern parking lot protected by ~770 ft revetment on the beach at the base of the bluff; central parking lot on beach; western parking lots on beach and surrounded by a bulkhead</t>
  </si>
  <si>
    <t>McAllister County Park</t>
  </si>
  <si>
    <t>jetty at Port Jefferson Harbor Inlet at west end</t>
  </si>
  <si>
    <t>Whitehall Beach</t>
  </si>
  <si>
    <t>Village of Old Field</t>
  </si>
  <si>
    <t>jetty at Port Jefferson Harbor Inlet at east end</t>
  </si>
  <si>
    <t>West Meadow Beach</t>
  </si>
  <si>
    <t>Otto Schubert Beach</t>
  </si>
  <si>
    <t>Town of Smithtown</t>
  </si>
  <si>
    <t>revetments on adjacent property to the east</t>
  </si>
  <si>
    <t>bulkheads on adjacent property to the east</t>
  </si>
  <si>
    <t>Callahan's Beach Park</t>
  </si>
  <si>
    <t>1 groin; large parking lots, boardwalk and recreational facilities including a golf course</t>
  </si>
  <si>
    <t>groin and bulkhead on adjacent property to the west</t>
  </si>
  <si>
    <t>2 revetments of ~30' and 933'; eastern part is beachand bluff only with private homes on top of bluff</t>
  </si>
  <si>
    <t>3 groins near lighthouse</t>
  </si>
  <si>
    <t>Hobart Beach (Sand City) Park</t>
  </si>
  <si>
    <t>Village of Lloyd Harbor, Town of Huntington</t>
  </si>
  <si>
    <t>national historic site; NWR (wetlands and waters)</t>
  </si>
  <si>
    <t>Charles E. Ransom Beach (in Bayville)</t>
  </si>
  <si>
    <t>Village of Bayville</t>
  </si>
  <si>
    <t>City of Glen Cove</t>
  </si>
  <si>
    <t>Prybil Beach</t>
  </si>
  <si>
    <t>Morgan Memorial Park</t>
  </si>
  <si>
    <t>Reeve Preserve I</t>
  </si>
  <si>
    <t>Peconic Land Trust</t>
  </si>
  <si>
    <t>Granttham Preserve</t>
  </si>
  <si>
    <t>Anderegg Preserve</t>
  </si>
  <si>
    <t>McQuade Preserve</t>
  </si>
  <si>
    <t>sunken ships act as groins on the beach</t>
  </si>
  <si>
    <t>Booth Trust Easement</t>
  </si>
  <si>
    <t>conservation easement</t>
  </si>
  <si>
    <t>Schreiber Trust Easement</t>
  </si>
  <si>
    <t>2 underwater structures or outcrops act as groins; material mined from bluffs in 1960s in central area</t>
  </si>
  <si>
    <t>Cove Beach Easement</t>
  </si>
  <si>
    <t>Gillespie / Alford Trust Easement</t>
  </si>
  <si>
    <t>Ruth Oliva Preserve at Dam Pond</t>
  </si>
  <si>
    <t>fragmentation (multiple parcels)</t>
  </si>
  <si>
    <t>state of CT</t>
  </si>
  <si>
    <t>concrete barriers and tree waddles protecting bathhouse (~140')</t>
  </si>
  <si>
    <t>Little Chebeague Island</t>
  </si>
  <si>
    <t>large parking lots near beach; possible raking and removal of seaweed wrack or placement of wrack at foot of dunes for dune management</t>
  </si>
  <si>
    <t>Fort Williams State Park</t>
  </si>
  <si>
    <t>1 pocket &lt; 500 ft long</t>
  </si>
  <si>
    <t>ME DACF (2015)</t>
  </si>
  <si>
    <t>Dickson (2011), ME DACF (2015)</t>
  </si>
  <si>
    <t>ME DACF (2015), http://www.bates.edu/harward/bmm/</t>
  </si>
  <si>
    <t>Dickson (2009), ME DACF (2015)</t>
  </si>
  <si>
    <t>Small Point Preserve</t>
  </si>
  <si>
    <t>Maine Coast Heritage Trust</t>
  </si>
  <si>
    <t>Upper Flag Island, Petit Menan NWR</t>
  </si>
  <si>
    <t>Chebeague and Cumberland Land Trust</t>
  </si>
  <si>
    <t>Rose's Point, Chebeague Island</t>
  </si>
  <si>
    <t>private development adjacent to beach</t>
  </si>
  <si>
    <t>Higgins Farm, Chebeague Island</t>
  </si>
  <si>
    <t>Belvins Easement, Chebeague Island</t>
  </si>
  <si>
    <t>Indian Point, Chebeague Island</t>
  </si>
  <si>
    <t>road and private driveway adjacent to beach</t>
  </si>
  <si>
    <t>Curit Property, Chebeague Island</t>
  </si>
  <si>
    <t>Andrews Beach</t>
  </si>
  <si>
    <t>Kettle Cove, Crescent Beach State Park</t>
  </si>
  <si>
    <t>Scarborough WMA</t>
  </si>
  <si>
    <t>WMA</t>
  </si>
  <si>
    <t>Pine Point Easements</t>
  </si>
  <si>
    <t>conservation easements</t>
  </si>
  <si>
    <t>Ferry Beach</t>
  </si>
  <si>
    <t>Town of Scarborough</t>
  </si>
  <si>
    <t>private development (18 buildings) adjacent to beach; easements are on beach and dunes only; jetty at Scarborough Inlet to the east</t>
  </si>
  <si>
    <t>Hurd Park, Pine Point</t>
  </si>
  <si>
    <t>large parking lot; beach raking weekly in summer</t>
  </si>
  <si>
    <t>Town of Scarborough (http://www.scarboroughmaine.org/departments/community-services/beaches)</t>
  </si>
  <si>
    <t>private golf course surrounds the public beach / park; dredging of Scarborough River Inlet; jetty on west side of inlet</t>
  </si>
  <si>
    <t>revetment on north shoreline of Goosefare Brook Inlet; fragmentation - separate parcels on both inlet shoulders; private development adjacent to the north and south</t>
  </si>
  <si>
    <t>private development adjacent to north and south, with private bulkheads to the south</t>
  </si>
  <si>
    <t>Goose Rocks Beach</t>
  </si>
  <si>
    <t>bulkhead along Kings Highway; fragmentation (8 parcels) between the highway and the beach, owning dune only</t>
  </si>
  <si>
    <t>Biddeford Pool Beach</t>
  </si>
  <si>
    <t>bulkhead at parking lot</t>
  </si>
  <si>
    <t>Fortune Rocks Beach</t>
  </si>
  <si>
    <t>City of Biddeford</t>
  </si>
  <si>
    <t>City of Biddeford (http://www.biddefordmaine.org/)</t>
  </si>
  <si>
    <t>public beach only, no significant access parks or properties</t>
  </si>
  <si>
    <t>Rachel Carson NWR, Goose Rocks Division (Batson River Inlet)</t>
  </si>
  <si>
    <t>City of Kennebunkport</t>
  </si>
  <si>
    <t>public beach (~3 miles) only, no significant access parks or properties</t>
  </si>
  <si>
    <t>jetty on Kennebunk River Inlet at west end; surrounded by private development</t>
  </si>
  <si>
    <t>Town of Kennebunk</t>
  </si>
  <si>
    <t>Kennebunk Beach (Middle Beach)</t>
  </si>
  <si>
    <t>Gooch's Beach</t>
  </si>
  <si>
    <t>Mother's Beach</t>
  </si>
  <si>
    <t>Colony Beach</t>
  </si>
  <si>
    <t>USACE</t>
  </si>
  <si>
    <t>Town of Kennebunkport (http://www.kennebunkportme.gov/Public_Documents/KennebunkportME_Depts/assessor2)</t>
  </si>
  <si>
    <t>Strawberry Island</t>
  </si>
  <si>
    <t>revetment on south side and private bulkheads on north side</t>
  </si>
  <si>
    <t>Kennebunk Land Trust</t>
  </si>
  <si>
    <t>Rachel Carson NWR, Mousam River Division (Little River Inlet)</t>
  </si>
  <si>
    <t>NERR</t>
  </si>
  <si>
    <t>Drake's Island Beach</t>
  </si>
  <si>
    <t>Wells Beach</t>
  </si>
  <si>
    <t>Crescent Beach</t>
  </si>
  <si>
    <t>jetty at Wells Inlet; many private shoreline stabilization structures on back of beach</t>
  </si>
  <si>
    <t>public beach only, no significant access parks or properties on the beach</t>
  </si>
  <si>
    <t>public beach (only public access with parking lot listed here)</t>
  </si>
  <si>
    <t>seawall with armor stone at back of entire beach</t>
  </si>
  <si>
    <t>Town of Wells (http://www.wellstown.org)</t>
  </si>
  <si>
    <t>Short Sands Beach, Ellis Park</t>
  </si>
  <si>
    <t>Town of York</t>
  </si>
  <si>
    <t>Town of York (http://www.yorkparksandrec.org/attractions/beaches)</t>
  </si>
  <si>
    <t>seawall / revetment along entire length along Long Beach Avenue which is directly adjacent to the beach, eliminating any dry beach in several areas</t>
  </si>
  <si>
    <t>Long Sands Beach</t>
  </si>
  <si>
    <t>revetment along southern end; large parking lot at north end; concrete promenade along back of beach</t>
  </si>
  <si>
    <t>Town of Ogunquit (http://www.townofogunquit.org/)</t>
  </si>
  <si>
    <t>revetment along entire back of beach; recreational facilities</t>
  </si>
  <si>
    <t>Harbor Beach, Hartley Mason Park</t>
  </si>
  <si>
    <t>Gerrish Island, Delano Easement</t>
  </si>
  <si>
    <t>TOTAL</t>
  </si>
  <si>
    <t>fragmentation in 2 pocket beaches; breakwater at north end of northern pocket beach at Portsmouth Harbor; revetment (~660') along most of southern pocket along Ocean Blvd.</t>
  </si>
  <si>
    <t>Google Earth (2015), NH GRANIT (2015)</t>
  </si>
  <si>
    <t>Great Island Common</t>
  </si>
  <si>
    <t>Rockingham</t>
  </si>
  <si>
    <t>Town of New Castle</t>
  </si>
  <si>
    <t>private development adjacent to north, park only owns land behind southern portion of pocket beach</t>
  </si>
  <si>
    <t>Crosby Easement</t>
  </si>
  <si>
    <t>seawall on beach of private development adjacent to the north</t>
  </si>
  <si>
    <t>Foss Beach</t>
  </si>
  <si>
    <t>revetment and Ocean Blvd. immediately backing entire beach</t>
  </si>
  <si>
    <t>Town of Rye</t>
  </si>
  <si>
    <t>Rye Harbor State Park</t>
  </si>
  <si>
    <t>state park only owns very southern end of beach along Ocean Blvd north of Rye Harbor; revetment along Ocean Blvd to north</t>
  </si>
  <si>
    <t>Jenness Beach State Park</t>
  </si>
  <si>
    <t>bulkhead / seawall along entire beach length; parking lot and road immediately adjacent to beach</t>
  </si>
  <si>
    <t>beach is on narrow spit fronting Eel Pond with Ocean Blvd. immediately adjacent to beach; revetments and seawalls on adjacent private property to north and south</t>
  </si>
  <si>
    <t>Bass Beach</t>
  </si>
  <si>
    <t>Town of North Hampton</t>
  </si>
  <si>
    <t>revetment and Ocean Blvd. immediately backing entire beach; parking lot along back of nearly the entire beach</t>
  </si>
  <si>
    <t>North Side Park</t>
  </si>
  <si>
    <t>Town of Hampton</t>
  </si>
  <si>
    <t>revetment along entire back of beach</t>
  </si>
  <si>
    <t>seawall / revetment and Ocean Blvd. immediately backing entire beach; 8 groins on sandy beach segments; total park shoreline ~1.48 miles but only 1.05 miles had beach in front of revetment in Nov. 2011; parking lot along northern half directly adjacent to seawall / revetment</t>
  </si>
  <si>
    <t>Hampton Beach State Park (south of Great Boars Head)</t>
  </si>
  <si>
    <t>Seabrook Dunes and Beach</t>
  </si>
  <si>
    <t>Town of Seabrook</t>
  </si>
  <si>
    <t>private bulkheads / seawalls along some private property adjacent to beach</t>
  </si>
  <si>
    <t>Hampton Beach State Park (North Beach)</t>
  </si>
  <si>
    <t>Montauk Point State Park</t>
  </si>
  <si>
    <t>Hither Hills State Park</t>
  </si>
  <si>
    <t>Long Island State Park Commission</t>
  </si>
  <si>
    <t>Montauk Point Lighthouse</t>
  </si>
  <si>
    <t>revetment (~580') with no beach at Montauk Point by lighthouse (Peconic Estuary shoreline portion)</t>
  </si>
  <si>
    <t>state of NY, Long Island State Park Commission</t>
  </si>
  <si>
    <t>Town of East Hampton</t>
  </si>
  <si>
    <t>parking lot; jetty at west end at Lake Montauk Inlet</t>
  </si>
  <si>
    <t>East Lake Beach (Gin Beach)</t>
  </si>
  <si>
    <t>West Lake Drive Beach</t>
  </si>
  <si>
    <t>parking lot; jetty at east end at Lake Montauk Inlet; revetment along nearly entire beach</t>
  </si>
  <si>
    <t>Culloden Point Beach</t>
  </si>
  <si>
    <t>park (partially underwater - HMS Culloden shipwreck)</t>
  </si>
  <si>
    <t>private development on adjacent bluff top in some areas</t>
  </si>
  <si>
    <t>railroad line on adjacent property behind beach and Navy Road</t>
  </si>
  <si>
    <t>Hither Woods Preserve</t>
  </si>
  <si>
    <t>pier with revetment (~90'); 2 groins; historically a sand mining operation</t>
  </si>
  <si>
    <t>Town of East Hampton, Suffolk County, state of NY</t>
  </si>
  <si>
    <t>Linda Gronlund Memorial Nature Preserve</t>
  </si>
  <si>
    <t>Elizabeth A. Morton NWR</t>
  </si>
  <si>
    <t>Meschutt Beach County Park</t>
  </si>
  <si>
    <t>Napeague State Park</t>
  </si>
  <si>
    <t>remnant bulkheads and groins, industrial site at southwest end</t>
  </si>
  <si>
    <t>railroad line on top of bluff along part of shoreline; structure remnants on beach at northwest corner of Hicks Island</t>
  </si>
  <si>
    <t>Cedar Bush Preserve</t>
  </si>
  <si>
    <t>private development on adjacent properties to east and west</t>
  </si>
  <si>
    <t>Fresh Pond Park</t>
  </si>
  <si>
    <t>2 groins at Fresh Pond Inlet; seawall/bulkhead in front of parking lot with no beach along part of it</t>
  </si>
  <si>
    <t>parks</t>
  </si>
  <si>
    <t>Dennistown Bell Park - Big &amp; Little Albert's Landing Parks</t>
  </si>
  <si>
    <t>groin at south end at Fresh Pond Inlet; 4 groins within parks; bulkhead at Big Albert's Landing Park; groin field and bulkhead on adjacent property to north</t>
  </si>
  <si>
    <t>private development on bluff top adjacent to beach; 2 groins and old Bell Pier which acts like a groin</t>
  </si>
  <si>
    <t>Louse Point Town Beach</t>
  </si>
  <si>
    <t>revetment protecting road; 1 groin</t>
  </si>
  <si>
    <t>Camp Blue Bay</t>
  </si>
  <si>
    <t>Nassau Council of Girl Scouts</t>
  </si>
  <si>
    <t>summer camp</t>
  </si>
  <si>
    <t>ORV</t>
  </si>
  <si>
    <t>ORV; one bulkhead or old dock acting like a groin at south end</t>
  </si>
  <si>
    <t>jetty at south end at Three Mile Harbor Inlet; recreational facilities</t>
  </si>
  <si>
    <t>Maidstone Park</t>
  </si>
  <si>
    <t>Sammy's Beach</t>
  </si>
  <si>
    <t>Cedar Point County Park</t>
  </si>
  <si>
    <t>revetment (~750') at Cedar Point Lighthouse; ORV; buildings and campground at southwest corner</t>
  </si>
  <si>
    <t>NY DEC</t>
  </si>
  <si>
    <t>Northwest Harbor Tidal Wetlands Area</t>
  </si>
  <si>
    <t>Grace Estate</t>
  </si>
  <si>
    <t>NY DEC, Suffolk County</t>
  </si>
  <si>
    <t>dual jetties at what looks like an artificial inlet immediately to the north of Northwest Creek Inlet</t>
  </si>
  <si>
    <t>Mile Hill Beach</t>
  </si>
  <si>
    <t>Haven's Beach</t>
  </si>
  <si>
    <t>Village of Sag Harbor</t>
  </si>
  <si>
    <t>parking lots near beach</t>
  </si>
  <si>
    <t>revetment on private property immediately adjacent to north</t>
  </si>
  <si>
    <t>unknown passive park or protected parcel on north shoulder of Fresh Pond Inlet in North Haven (the spit)</t>
  </si>
  <si>
    <t>Tramaridge Trust Easement</t>
  </si>
  <si>
    <t>groin on adjacent property to the north</t>
  </si>
  <si>
    <t>2 groins, a dock acting like a groin; bulkhead with no beach on adjacent property to south</t>
  </si>
  <si>
    <t>Foster Memorial Town Beach</t>
  </si>
  <si>
    <t>Town of Southampton</t>
  </si>
  <si>
    <t>revetment (~1375') and 24 groins at north end along Noyack - Long Beach Road, some of which has no beach; parking lot with access road along most of beach south of the revetment</t>
  </si>
  <si>
    <t>Clam Island</t>
  </si>
  <si>
    <t>groin and bulkhead along private development on adjacent property to southwest</t>
  </si>
  <si>
    <t>Cow Neck Trust Easement</t>
  </si>
  <si>
    <t>bulkhead protecting an unnamed pond on the southwest side that has no sandy beach for ~555'</t>
  </si>
  <si>
    <t>jetty at north end at Three Mile Harbor Inlet; ORV; dredge disposal on beach</t>
  </si>
  <si>
    <t>Town of East Hampton (2013)</t>
  </si>
  <si>
    <t>private development on adjacent properties to north and south; ORV</t>
  </si>
  <si>
    <t>groin at south boundary; dredge disposal for Accobonac Inlet; ORV</t>
  </si>
  <si>
    <t>large parking lots line nearly entire beach; jetty at Shinnecock Inlet at west end; sand fencing; recreational facilities</t>
  </si>
  <si>
    <t>Shinnecock Indian Nation</t>
  </si>
  <si>
    <t>trival reservation</t>
  </si>
  <si>
    <t>East Landing Road Beach Access</t>
  </si>
  <si>
    <t>private development on adjacent property to east</t>
  </si>
  <si>
    <t>West Landing Road Beach Access</t>
  </si>
  <si>
    <t>Squiretown Park</t>
  </si>
  <si>
    <t>bulkhead (~155') along base of bluff in center of park</t>
  </si>
  <si>
    <t>revetment</t>
  </si>
  <si>
    <t>Hubbard County Park</t>
  </si>
  <si>
    <t>note park contains at least 4 other pocket beaches that are less than 500' long</t>
  </si>
  <si>
    <t>South Jamesport Park</t>
  </si>
  <si>
    <t>Indian Island County Park</t>
  </si>
  <si>
    <t>note park contains at least 1 other pocket beach that is less than 500' long</t>
  </si>
  <si>
    <t>Wines / Gilbert Trust Easement</t>
  </si>
  <si>
    <t>bulkhead on private property immediately to west</t>
  </si>
  <si>
    <t>Miamogue Point</t>
  </si>
  <si>
    <t>bulkhead on private property immediately to east</t>
  </si>
  <si>
    <t>recreational facilities, large parking lots, marina on East Creek shoreline</t>
  </si>
  <si>
    <t>3 groins, recreational facilities, parking lot</t>
  </si>
  <si>
    <t>Yacht Club Property Beach</t>
  </si>
  <si>
    <t>Veteran Memorial Park</t>
  </si>
  <si>
    <t>2 groins at either end; recreational facilities; parking lot</t>
  </si>
  <si>
    <t>New Suffolk Beach</t>
  </si>
  <si>
    <t>bulkhead, 4 groins, breakwater; parking lot</t>
  </si>
  <si>
    <t>New Suffolk Trust Easement</t>
  </si>
  <si>
    <t>Peconic Land Trust, New Suffolk Waterfront Fund, Robins Island Holdings</t>
  </si>
  <si>
    <t>nature preserve, conservation easement</t>
  </si>
  <si>
    <t>-</t>
  </si>
  <si>
    <t>2 parcels at 1st and Main Streets in New Suffolk were purchased in 2010 and 2013 but have not been fully restored yet; modifications include bulkheads, groins, a jetty, breakwaters, boat slips and buildings; as of March 2012 the site had approximately 390 ft of sandy beach</t>
  </si>
  <si>
    <t>Paumanok Trust Easement</t>
  </si>
  <si>
    <t>Robins Island</t>
  </si>
  <si>
    <t>revetment along nearly entire beach</t>
  </si>
  <si>
    <t>3 revetments on west side with no beach for ~1,670' of shoreline; dock acting as a groin plus 1 groin next to groin</t>
  </si>
  <si>
    <t>Robins Island Foundation</t>
  </si>
  <si>
    <t>Robins Island Foundation (www.robinsisland.org)</t>
  </si>
  <si>
    <t>Pequash Avenue Beach</t>
  </si>
  <si>
    <t>Cutchogue-New Suffolk Park District</t>
  </si>
  <si>
    <t>bulkheads on private property to east and west</t>
  </si>
  <si>
    <t>Town of Southold (2013)</t>
  </si>
  <si>
    <t>Pia Trust Easement</t>
  </si>
  <si>
    <t>bulkhead and 2 groins at north end; jetty at Wunneweta Pond Inlet at south end</t>
  </si>
  <si>
    <t>Nassau Point Beach</t>
  </si>
  <si>
    <t>parking access road behind entire beach</t>
  </si>
  <si>
    <t>open space</t>
  </si>
  <si>
    <t>Little Creek Inlet open space</t>
  </si>
  <si>
    <t>Blocker Preserve</t>
  </si>
  <si>
    <t>Cedar Beach County Park</t>
  </si>
  <si>
    <t>Founder's Landing Park</t>
  </si>
  <si>
    <t>Orient Beach State Park</t>
  </si>
  <si>
    <t>Emerson Park</t>
  </si>
  <si>
    <t>1 groin; 3 inholding lots have bulkheads and homes with no beach</t>
  </si>
  <si>
    <t>large parking lot, recreational facilities and finger canals at north end</t>
  </si>
  <si>
    <t>Shellfisher Preserve</t>
  </si>
  <si>
    <t>mariculture facility</t>
  </si>
  <si>
    <t>dredged inlet and lagoon, 2 box jetties, revetment, 1 groin, 1 artificial inlet, bulkheads</t>
  </si>
  <si>
    <t>parking lot, recreational facilities; bulkheads at North Bayview Road bridge abutments across Goose Creek Inlet</t>
  </si>
  <si>
    <t>2 groins, bulkhead; parking lot, recreational facilities</t>
  </si>
  <si>
    <t>Goose Creek Beach</t>
  </si>
  <si>
    <t>Moores Drain Open Space</t>
  </si>
  <si>
    <t>Village of Greenport</t>
  </si>
  <si>
    <t>1 groin; bulkhead at end of 5th St.; bulkheads at east and west boundaries; recreational facilities</t>
  </si>
  <si>
    <t>Norman Klipp Park (Gull Pond Beach)</t>
  </si>
  <si>
    <t>5th Street Beach and Park</t>
  </si>
  <si>
    <t>bulkhead and groins on adjacent private property to east</t>
  </si>
  <si>
    <t>jetty at Gull Pond Inlet; large parking lot</t>
  </si>
  <si>
    <t>Orient - East Marion Park District</t>
  </si>
  <si>
    <t>Truman's Beach complex</t>
  </si>
  <si>
    <t>public beach, passive park</t>
  </si>
  <si>
    <t>ORV; one undeveloped inholding property owns ~209' of beach near the southeastern end</t>
  </si>
  <si>
    <t>Long Beach Bay Tidal Wetlands Area</t>
  </si>
  <si>
    <t>tidal wetlands area</t>
  </si>
  <si>
    <t>9 groins, 5 of which are offshore remnants; bulkhead and groins on adjacent private property on southeast boundary</t>
  </si>
  <si>
    <t>14 groins; revetment along entry causeway (~4,065') with no beach for all but ~820' of its length; bulkhead with no beach at marina on adjacent property to east</t>
  </si>
  <si>
    <t>5 groins on Peconic Estuary shoreline; revetment with no beach (~80') at Orient Point</t>
  </si>
  <si>
    <t>Town of Shelter Island</t>
  </si>
  <si>
    <t>Reel Point Reserve, Shelter Island</t>
  </si>
  <si>
    <t>Mashomack Preserve, Shelter Island</t>
  </si>
  <si>
    <t>Wade's Beach, Shelter Island</t>
  </si>
  <si>
    <t>2 groins</t>
  </si>
  <si>
    <t>large parking lot at south end; bulkhead on private property across Dickerson Creek Inlet</t>
  </si>
  <si>
    <t>Shell Beach, Shelter Island</t>
  </si>
  <si>
    <t>Crescent (Louis) Beach, Shelter Island</t>
  </si>
  <si>
    <t>2 groins, bulkhead along entire length; Shore Road immediately adjacent to beach with street parking</t>
  </si>
  <si>
    <t>bulkhead at spit tip; 9 groins; revetment (~580') along causeway</t>
  </si>
  <si>
    <t>Sylvester Manor Educational Farm, Inc.</t>
  </si>
  <si>
    <t>bulkhead bridge abutment on Winthrop Road at Gardiners Creek Inlet; Peconic Land Trust and the Town of Shelter Island have conservation easements on various Sylvester Manor parcels</t>
  </si>
  <si>
    <t>public beach access</t>
  </si>
  <si>
    <t>parking lot</t>
  </si>
  <si>
    <t>Sylvester Manor Educational Farm, Shelter Island</t>
  </si>
  <si>
    <t>Menhaden Lane public access, Shelter Island</t>
  </si>
  <si>
    <t>Dressel Preserve, Shelter Island</t>
  </si>
  <si>
    <t>Town of Shelter Island, Suffolk County</t>
  </si>
  <si>
    <t>bulkhead and groins on adjacent private property to south</t>
  </si>
  <si>
    <t>TNC, Town of Shelter Island, Suffolk County</t>
  </si>
  <si>
    <t>unknown preserve on Ram Island Drive causeway, Shelter Island</t>
  </si>
  <si>
    <t>2 revetments (~520 and ~730') protecting causeway; bulkhead at south boundary; 1 inholding private property of ~106' of beach (undeveloped)</t>
  </si>
  <si>
    <t>sand fencing; ORV</t>
  </si>
  <si>
    <t>Town of East Hampton (1999)</t>
  </si>
  <si>
    <t>airport runway on top of bluff west of Big Reed Pond; heavy ORV use with camping and fishing on beach</t>
  </si>
  <si>
    <t>Plum Island Beach (The Point)</t>
  </si>
  <si>
    <t>City of Newburyport</t>
  </si>
  <si>
    <t>Merimack River Inlet jetty at north end; 1 groin; private development directly adjacent to beach and dune at south end</t>
  </si>
  <si>
    <t>private development directly adjacent to beach and dune for all but southernmost 0.70 miles, which is undeveloped; jetty and bulkhead at Merrimack River Inlet at south end; parking lots at south end</t>
  </si>
  <si>
    <t>groin at northern boundary</t>
  </si>
  <si>
    <t>1 groin at northwest end at Ipswich River mouth; a few parking lots set back from beach</t>
  </si>
  <si>
    <t>historic estate, wildlife refuge, public beach</t>
  </si>
  <si>
    <t>City of Gloucester</t>
  </si>
  <si>
    <t>large parking lot at northwest end</t>
  </si>
  <si>
    <t>Back Beach</t>
  </si>
  <si>
    <t>Front Beach</t>
  </si>
  <si>
    <t>Pebble Beach</t>
  </si>
  <si>
    <t>public beach (0.13 mi)</t>
  </si>
  <si>
    <t>public beach (0.19 mi)</t>
  </si>
  <si>
    <t>public beach (0.23 mi)</t>
  </si>
  <si>
    <t>revetment (920')</t>
  </si>
  <si>
    <t>bulkheads/seawalls along entire beach</t>
  </si>
  <si>
    <t>revetment along entire beach</t>
  </si>
  <si>
    <t>possible artificial dune protecting parking lot at southwest end</t>
  </si>
  <si>
    <t>Long Beach</t>
  </si>
  <si>
    <t>public beach (0.61 mi)</t>
  </si>
  <si>
    <t>parking lot set well back</t>
  </si>
  <si>
    <t>Magnolia Beach</t>
  </si>
  <si>
    <t>Town of Manchester</t>
  </si>
  <si>
    <t>public beach (0.42 mi)</t>
  </si>
  <si>
    <t>Black Beach</t>
  </si>
  <si>
    <t>public beach (0.31 mi)</t>
  </si>
  <si>
    <t>bulkheads/seawalls (~0.32 mi)</t>
  </si>
  <si>
    <t>White Beach</t>
  </si>
  <si>
    <t>bulkhead/seawall and revetment (~0.14 mi)</t>
  </si>
  <si>
    <t>bulkhead/seawall and revetment along entire beach</t>
  </si>
  <si>
    <t>Singing Beach</t>
  </si>
  <si>
    <t>public beach (0.46 mi)</t>
  </si>
  <si>
    <t>West Beach</t>
  </si>
  <si>
    <t>revetment and bulkheads/seawalls along entire beach</t>
  </si>
  <si>
    <t>Mingo Beach</t>
  </si>
  <si>
    <t>bulkheads/seawalls along entire beach; parking lot immediately adjacent to beach</t>
  </si>
  <si>
    <t>bulkheads/seawalls (~0.07 mi)</t>
  </si>
  <si>
    <t>public beach (0.10 mi)</t>
  </si>
  <si>
    <t>Dane Street Beach</t>
  </si>
  <si>
    <t>bulkheads/seawalls (~0.16 mi); beach fill</t>
  </si>
  <si>
    <t>Independence Park</t>
  </si>
  <si>
    <t>bulkhead/seawall along entire beach; groin at south end</t>
  </si>
  <si>
    <t>Winter Island (Waikiki) Beach</t>
  </si>
  <si>
    <t>bulkhead/seawall and revetment (~0.06 mi)</t>
  </si>
  <si>
    <t>Devereux Beach</t>
  </si>
  <si>
    <t>City of Beverly</t>
  </si>
  <si>
    <t>Town of Marblehead</t>
  </si>
  <si>
    <t>City of Salem</t>
  </si>
  <si>
    <t>bulkhead/seawall along Ocean Ave. at east end (~0.06 mi); parking lots and recreational facilities</t>
  </si>
  <si>
    <t>Phillips Beach</t>
  </si>
  <si>
    <t>Town of Swampscott</t>
  </si>
  <si>
    <t>public beach (0.91 mi total length)</t>
  </si>
  <si>
    <t>private development with erosion control measures directly adjacent to beach at north and south ends</t>
  </si>
  <si>
    <t>Eisman's Beach</t>
  </si>
  <si>
    <t>bulkheads/seawalls along entire length; private development directly adjacent to beach for eastern two-thirds</t>
  </si>
  <si>
    <t>Fisherman's Beach</t>
  </si>
  <si>
    <t>park, public beach (0.36 mi total length)</t>
  </si>
  <si>
    <t>park, public beach (0.20 mi total length)</t>
  </si>
  <si>
    <t>bulkheads/seawalls along nearly entire length; groin at east end; private development directly adjacent to beach at east side</t>
  </si>
  <si>
    <t>Lynn Shore and Nahant Beach Reservations (King's Beach)</t>
  </si>
  <si>
    <t>bulkheads/seawalls and riprap along all but ~0.56 mi at Nahant Beach; beach fill; parking lots and roads immediately adjacent to beaches</t>
  </si>
  <si>
    <t>public beaches</t>
  </si>
  <si>
    <t>Town of Nahant</t>
  </si>
  <si>
    <t>riprap revetment along entire beach length</t>
  </si>
  <si>
    <t>Tudor Beach</t>
  </si>
  <si>
    <t>public beach (0.22 mi)</t>
  </si>
  <si>
    <t>seawall along entire beach length</t>
  </si>
  <si>
    <t>Black Rock Beach</t>
  </si>
  <si>
    <t>riprap revetment (~0.14 mi) along northern end</t>
  </si>
  <si>
    <t>seawall along entire length; large parking lots and recreational facilities near southwest end; private and commercial development and road immediately adjacent to beach</t>
  </si>
  <si>
    <t>Revere Beach Reservation</t>
  </si>
  <si>
    <t>seawall along entire length; an additional 0.26 mi of seawall with no beach at north end</t>
  </si>
  <si>
    <t>Short Beach, Winthrop Shores Reservation</t>
  </si>
  <si>
    <t>Winthrop Beach, Winthrop Shores Reservation</t>
  </si>
  <si>
    <t>bulkhead along entire length; 5 groins; 5 offshore breakwaters at south end (0.41 mi); road and private development directly adjacent to beach</t>
  </si>
  <si>
    <t>Yerrill Beach</t>
  </si>
  <si>
    <t>Town of Winthrop</t>
  </si>
  <si>
    <t>bulkheads/seawalls along all but southernmost ~0.15 mi</t>
  </si>
  <si>
    <t>Deer Island, Boston Harbors NRA</t>
  </si>
  <si>
    <t>Massachusetts Water Resources Authority</t>
  </si>
  <si>
    <t>no sandy beach in Dec. 2011 imagery; revetment along entire length</t>
  </si>
  <si>
    <t>NRA</t>
  </si>
  <si>
    <t>Long Island, Boston Harbors NRA</t>
  </si>
  <si>
    <t>City of Boston</t>
  </si>
  <si>
    <t>park, social services facilities, historic fort and lighthouse</t>
  </si>
  <si>
    <t>3 revetments and 1 bulkhead totalling 0.61 mi with no beach in Nov. 2010</t>
  </si>
  <si>
    <t>Rainsford Island, Boston Harbors NRA</t>
  </si>
  <si>
    <t>seawall on eastern tip along 0.30 mi with no beach in Nov. 2010</t>
  </si>
  <si>
    <t>Town of Hull</t>
  </si>
  <si>
    <t>XYZ Beach</t>
  </si>
  <si>
    <t>A Street Ocean Beach</t>
  </si>
  <si>
    <t>1 revetment and 7 seawalls/bulkheads along private property directly adjacent to beach (totalling ~0.26 mi)</t>
  </si>
  <si>
    <t>9 seawalls/bulkheads along private property directly adjacent to beach (totalling ~0.23 mi)</t>
  </si>
  <si>
    <t>Kenburma Beach</t>
  </si>
  <si>
    <t>public beach (0.77 mi)</t>
  </si>
  <si>
    <t>public beach (0.41 mi)</t>
  </si>
  <si>
    <t>13 seawalls/bulkheads along private property directly adjacent to beach (totalling ~0.12 mi)</t>
  </si>
  <si>
    <t>Whitehead Beach</t>
  </si>
  <si>
    <t>9 seawalls/bulkheads along private property directly adjacent to beach (totalling ~0.11 mi)</t>
  </si>
  <si>
    <t>Nantasket Beach Reservation</t>
  </si>
  <si>
    <t>seawall/bulkhead along nearly entire beach; fragmented in several parcels; parking lots and road immediately adjacent to beach; recreational facilities</t>
  </si>
  <si>
    <t>Gunrock Beach</t>
  </si>
  <si>
    <t>public beach (0.17 mi)</t>
  </si>
  <si>
    <t>seawalls/bulkheads along entire beach; private property and road directly adjacent to beach</t>
  </si>
  <si>
    <t>Town of Cohasset</t>
  </si>
  <si>
    <t>Sandy Beach</t>
  </si>
  <si>
    <t>revetment at northwest end (~0.07 mi); large parking lot directly adjacent to beach</t>
  </si>
  <si>
    <t>Sandy Cove Beach</t>
  </si>
  <si>
    <t>breakwater at Cohasset Inlet; Cohasset Harbor Inlet is dredged by USACE</t>
  </si>
  <si>
    <t>Minot Beach</t>
  </si>
  <si>
    <t>public beach (0.51 mi)</t>
  </si>
  <si>
    <t>seawalls along nearly entire beach; private property and road directly adjacent to beach</t>
  </si>
  <si>
    <t>Egypt Beach</t>
  </si>
  <si>
    <t>private property with homes on the beach directly to north and south</t>
  </si>
  <si>
    <t>Sand Hills Beach</t>
  </si>
  <si>
    <t>public beach (0.15 mi)</t>
  </si>
  <si>
    <t>seawall/bulkhead along private property directly adjacent to entire beach</t>
  </si>
  <si>
    <t>Peggotty Beach</t>
  </si>
  <si>
    <t>public beach (0.14 mi)</t>
  </si>
  <si>
    <t>private development immediately adjacent to beach</t>
  </si>
  <si>
    <t>revetment directly to north</t>
  </si>
  <si>
    <t>Humarock Beach</t>
  </si>
  <si>
    <t>public beach (2.63 mi)</t>
  </si>
  <si>
    <t>private bulkheads/seawalls along most of beach; private development directly adjacent to beach</t>
  </si>
  <si>
    <t>Rexhame Beach</t>
  </si>
  <si>
    <t>Town of Marshfield</t>
  </si>
  <si>
    <t>park, public beach (total length 1.25 mi)</t>
  </si>
  <si>
    <t>two discontiguous sections (0.35 &amp; 0.29 mi) natural park areas, remaining has private developmenet with bulkheads/seawalls directly adjacent to beach</t>
  </si>
  <si>
    <t>Fieldston Beach</t>
  </si>
  <si>
    <t>public beach (1.20 mi)</t>
  </si>
  <si>
    <t>Brant Rock Beach</t>
  </si>
  <si>
    <t>public beach (0.33 mi)</t>
  </si>
  <si>
    <t>3 groins; seawalls/bulkheads along private property directly adjacent to nearly entire beach</t>
  </si>
  <si>
    <t>seawalls/bulkheads along private property directly adjacent to entire beach</t>
  </si>
  <si>
    <t>Green Harbor Beach</t>
  </si>
  <si>
    <t>public beach (total length 0.48 mi)</t>
  </si>
  <si>
    <t>jetty at Green Harbor Inlet; seawalls/bulkheads long private property directly adjacent to majority of beach</t>
  </si>
  <si>
    <t>Duxbury Beach</t>
  </si>
  <si>
    <t>Town of Duxbury, Duxbury Beach Reservation Inc.</t>
  </si>
  <si>
    <t>ORV; artificial dune/levee with vegetation plantings; sand fencing; some parking lots directly adjacent to beach</t>
  </si>
  <si>
    <t>3 groins and revetment at north tip of spit on inlet; 6 groins on oceanfront beach; revetment (~2.43 mi) and seawall/bulkhead (0.50 mi) along southern portion with no beach in front of most of either; private inholdings with buildings</t>
  </si>
  <si>
    <t>White Horse Beach</t>
  </si>
  <si>
    <t>public beach (total length 1.05 mi)</t>
  </si>
  <si>
    <t>6 groins north of Beaver Dam Brook; seawalls/bulkheads along private property immediately adjacent to majority of beach; 2 revetments lining Beaver Dam Brook channel to ocean</t>
  </si>
  <si>
    <t>Manomet Beach</t>
  </si>
  <si>
    <t>Manomet Center for Conservation Sciences</t>
  </si>
  <si>
    <t>education and research center</t>
  </si>
  <si>
    <t>3 groins, revetment at base of bluff with no beach for most of it</t>
  </si>
  <si>
    <t>Wildlands Trust of Southeastern Massachusetts</t>
  </si>
  <si>
    <t>Shifting Lots Preserve</t>
  </si>
  <si>
    <t>terminal groin on north side of Salt Pond Inlet; inlet relocated in 2003</t>
  </si>
  <si>
    <t>Sagamore Beach</t>
  </si>
  <si>
    <t>Town of Bourne</t>
  </si>
  <si>
    <t>public beach (1.38 mi)</t>
  </si>
  <si>
    <t>10 groins and 5 revetments/seawalls/bulkheads line 0.27 mi of beach; private development directly adjacent to beach on top of bluff</t>
  </si>
  <si>
    <t>Newport</t>
  </si>
  <si>
    <t>Briggs Marsh</t>
  </si>
  <si>
    <t>Town of Little Compton</t>
  </si>
  <si>
    <t>Briggs Marsh Easement</t>
  </si>
  <si>
    <t>unpaved parking area at northeast end</t>
  </si>
  <si>
    <t>Sakonnet Point Easement</t>
  </si>
  <si>
    <t>bulkhead / seawall at northwest end</t>
  </si>
  <si>
    <t>Tunipus Pond / South Shore Beach</t>
  </si>
  <si>
    <t>ORV, possible artificial dune at parking area</t>
  </si>
  <si>
    <t>Third Beach Easement</t>
  </si>
  <si>
    <t>state of RI</t>
  </si>
  <si>
    <t>Town of Middletown</t>
  </si>
  <si>
    <t>Navy Beach (Third Beach)</t>
  </si>
  <si>
    <t>Sachuest Point NWR</t>
  </si>
  <si>
    <t>parking lot and concrete boat ramp with revetments at south end</t>
  </si>
  <si>
    <t>2 segments; note that north beach grades into gravelly till to the east; south beach is contiguous with Second Beach</t>
  </si>
  <si>
    <t>Second Beach</t>
  </si>
  <si>
    <t>Town of Middletown, NPS, RIDEM</t>
  </si>
  <si>
    <t>bulkhead/seawall at western end parking lot; large parking lot and sand fencing at east end</t>
  </si>
  <si>
    <t>Atlantic Beach</t>
  </si>
  <si>
    <t>First Beach / Eastons Beach</t>
  </si>
  <si>
    <t>City of Newport, NPS, RIDEM</t>
  </si>
  <si>
    <t>bulkheads/seawalls along entire beach length; private development directly adjacent to beach at east end, large parking lot in central area, revetment on Easton Pond Inlet shoreline at west end</t>
  </si>
  <si>
    <t>bulkheads/seawalls along entire beach length; beach scraping and/or raking; very large parking lots and recreational facilities directly adjacent to beach at all but west end</t>
  </si>
  <si>
    <t>Mackerel Cove Town Beach</t>
  </si>
  <si>
    <t>Town of Jamestown</t>
  </si>
  <si>
    <t>revetment overlaps west end of beach</t>
  </si>
  <si>
    <t>Washington</t>
  </si>
  <si>
    <t>Bonnet Shores Land Trust</t>
  </si>
  <si>
    <t>Kelly Beach</t>
  </si>
  <si>
    <t>public access / beach</t>
  </si>
  <si>
    <t>Goosewing Beach Preserve</t>
  </si>
  <si>
    <t>TNC, Little Compton Agricultural Conservancy Trust</t>
  </si>
  <si>
    <t>Wesquage Pond Inlet is manually breached up to twice a year when natural breaches do not occur</t>
  </si>
  <si>
    <t>Whale Rock</t>
  </si>
  <si>
    <t>TNC, RI DEM</t>
  </si>
  <si>
    <t>note beach grades into gravelly till at the south end</t>
  </si>
  <si>
    <t>Narragansett Town Beach</t>
  </si>
  <si>
    <t>Town of Narragansett</t>
  </si>
  <si>
    <t>sand fencing; beach cabanas and pavilions development; large parking lots immediately adjacent to beach; seawall/bulkhead</t>
  </si>
  <si>
    <t>3 groins; bulkhead/seawall along recreational facilities; large parking lots; seawall/bulkhead and revetment at northeast end</t>
  </si>
  <si>
    <t>park, historic site (lighthouse)</t>
  </si>
  <si>
    <t>bulkhead/seawall around Point Judith lighthouse</t>
  </si>
  <si>
    <t>Camp Cronin</t>
  </si>
  <si>
    <t>Scarborough State Beach</t>
  </si>
  <si>
    <t>DiMeo / Noel</t>
  </si>
  <si>
    <t>state of RI (DFW)</t>
  </si>
  <si>
    <t>wildlife area</t>
  </si>
  <si>
    <t>5 groins; beach fill; beach raking; sand fencing; large parking lots and recreational facilities directly adjacent to beach</t>
  </si>
  <si>
    <t>Roger Wheeler State Beach</t>
  </si>
  <si>
    <t>Salty Brine State Beach</t>
  </si>
  <si>
    <t>Point Judith Harbor jetty at west side; sand fencing; parking lot directly adjacent to beach</t>
  </si>
  <si>
    <t>East Matunuck State Beach</t>
  </si>
  <si>
    <t>sand fencing; parking lots and recreational facilities</t>
  </si>
  <si>
    <t>Deep Hole</t>
  </si>
  <si>
    <t>fishing access</t>
  </si>
  <si>
    <t>fragmented in 3 discontiguous parcels</t>
  </si>
  <si>
    <t>Weeden Farm / South Kingstown Town Beach</t>
  </si>
  <si>
    <t>state of RI, NPS, RIDEM</t>
  </si>
  <si>
    <t>2 sandbag/geocube revetments armoring ~210' of beach in April 2012</t>
  </si>
  <si>
    <t>Trustom Pond NWR</t>
  </si>
  <si>
    <t>artificial breaches of Cards and Trustom Ponds annually; 1 inholding home at end of Moonstone Beach Rd</t>
  </si>
  <si>
    <t>Goose Island Access</t>
  </si>
  <si>
    <t>fragmented into 5 parcels, 4 owned by South Kingstown Land Trust, 1 by Town of South Kingstown</t>
  </si>
  <si>
    <t>South Kingstown Land Trust, Town of South Kingstown</t>
  </si>
  <si>
    <t>Charlestown Beach Road parcels</t>
  </si>
  <si>
    <t>Town of South Kingstown</t>
  </si>
  <si>
    <t>1 narrow parcel between private development to east and west</t>
  </si>
  <si>
    <t>Charlestown Beach Road parcel</t>
  </si>
  <si>
    <t>Charlestown Beach</t>
  </si>
  <si>
    <t>Town of Charlestown</t>
  </si>
  <si>
    <t>sand fencing</t>
  </si>
  <si>
    <t>Charlestown Beach parcels</t>
  </si>
  <si>
    <t>South County Conservancy</t>
  </si>
  <si>
    <t>South County Conservancy, Town of Charlestown</t>
  </si>
  <si>
    <t>fragmented into 3 parcels, 1 owned by South County Conservancy and 2 by Town of Charlestown</t>
  </si>
  <si>
    <t>Charlestown Breachway Campground</t>
  </si>
  <si>
    <t>Charlestown Breachway Fishing Area</t>
  </si>
  <si>
    <t>park, campground</t>
  </si>
  <si>
    <t>jetty at Charlestown Breachway at west boundary</t>
  </si>
  <si>
    <t>jetty at Charlestown Breachway at east boundary</t>
  </si>
  <si>
    <t>Arnolda Easements</t>
  </si>
  <si>
    <t>10 parcels with 3 inholdings fragmenting them</t>
  </si>
  <si>
    <t>Ninigret NWR</t>
  </si>
  <si>
    <t>Ninigret Conservation Area</t>
  </si>
  <si>
    <t>conservation area</t>
  </si>
  <si>
    <t>Blue Shutters Site</t>
  </si>
  <si>
    <t>Town of Charlestown, RIDEM</t>
  </si>
  <si>
    <t>recreation easement</t>
  </si>
  <si>
    <t>Quonchontaug Easements</t>
  </si>
  <si>
    <t>private development with revetments both to northeast and southwest</t>
  </si>
  <si>
    <t>Quonny Beach</t>
  </si>
  <si>
    <t>Quonchontaug Breachway Fishing Area</t>
  </si>
  <si>
    <t>dual jetties and Quonchontaug Breachway splits the fishing area into 2 parcels; ORV on western parcel</t>
  </si>
  <si>
    <t>Nopes Island Conservation Association, Shelter Harbor Fire District, Weekapaug Fire District, Weekapaug Foundation for Conservation</t>
  </si>
  <si>
    <t>Sand Trail Beach</t>
  </si>
  <si>
    <t>ORV; 9 parcels with fragmentation between some</t>
  </si>
  <si>
    <t>Wawaloam Drive Beach</t>
  </si>
  <si>
    <t>Weekapaug Fire District</t>
  </si>
  <si>
    <t>Weekapaug Breachway jetty on west side</t>
  </si>
  <si>
    <t>Weekapaug Fishing Area / Breachway</t>
  </si>
  <si>
    <t>very narrow parcel along western jetty of Weekapaug Breachway</t>
  </si>
  <si>
    <t>Town of Westerly</t>
  </si>
  <si>
    <t>Armenakes / Misquamicut Easement</t>
  </si>
  <si>
    <t>Town of Westerly, RIDEM</t>
  </si>
  <si>
    <t>very large parking lots and recreational facilities adjacent to beach; (artificial dunes post-Sandy)</t>
  </si>
  <si>
    <t>Misquamicut State Beach</t>
  </si>
  <si>
    <t>Fort Road Beach, Watch Hill</t>
  </si>
  <si>
    <t>Watch Hill Fire District</t>
  </si>
  <si>
    <t>Napatree Point</t>
  </si>
  <si>
    <t>Watch Hill Fire District, Town of Westerly, state of RI (DFW), Watch Hill Conservancy</t>
  </si>
  <si>
    <t>groin at east boundary; 9 parcels with 5 inholdings fragmenting the spit</t>
  </si>
  <si>
    <t>Sandy Point</t>
  </si>
  <si>
    <t>Avalonia Land Conservancy, Inc.</t>
  </si>
  <si>
    <t>RI-CT state line divides barrier island at northwest tip</t>
  </si>
  <si>
    <t>Singer / Ocean View</t>
  </si>
  <si>
    <t>Block Island Land Trust</t>
  </si>
  <si>
    <t>Spring Pond</t>
  </si>
  <si>
    <t>Town of New Shoreham</t>
  </si>
  <si>
    <t>groin at south boundary</t>
  </si>
  <si>
    <t>Green Hill Cove</t>
  </si>
  <si>
    <t>Mohegan Bluff / Delia Easement</t>
  </si>
  <si>
    <t>Southeast Light</t>
  </si>
  <si>
    <t>Southeast Lighthouse Foundation</t>
  </si>
  <si>
    <t>Phelan Tract</t>
  </si>
  <si>
    <t>Mohegan Bluff</t>
  </si>
  <si>
    <t xml:space="preserve">6 contiguous parcels immediately west of state Phelan Tract </t>
  </si>
  <si>
    <t>Town of New Shoreham, NPS, Block Island Land Trust, TNC, Block Island Conservancy</t>
  </si>
  <si>
    <t>contiguous with Southeast Light tract to east and Mohegan Bluff protected tracts to west</t>
  </si>
  <si>
    <t>Davis &amp; Sugden (Black Rock) Tracts</t>
  </si>
  <si>
    <t>TNC, Block Island Land Trust</t>
  </si>
  <si>
    <t>TNC, Block Island Land Trust, state of RI, Town of New Shoreham</t>
  </si>
  <si>
    <t>Black Rock</t>
  </si>
  <si>
    <t>Lewis-Dickens Farm</t>
  </si>
  <si>
    <t>Audubon Society of RI</t>
  </si>
  <si>
    <t>Schooner Point</t>
  </si>
  <si>
    <t>owned by BILT with easement from TNC; adjacent parcel to north has expressed easement interest with TNC</t>
  </si>
  <si>
    <t>2 contiguous parcels owned by TNC with BILT having an easement on the eastern (Davis) tract</t>
  </si>
  <si>
    <t>Charleston Beach</t>
  </si>
  <si>
    <t>Block Island Conservancy</t>
  </si>
  <si>
    <t>southwest jetty to Great Salt Pond Inlet</t>
  </si>
  <si>
    <t>contiguous with Town parcel adjacent to jetty</t>
  </si>
  <si>
    <t>Block Island NWR</t>
  </si>
  <si>
    <t>fragmented into 3 parcels but connected by other municipal/NGO lands</t>
  </si>
  <si>
    <t>Gunners Hill</t>
  </si>
  <si>
    <t>Sachem Pond</t>
  </si>
  <si>
    <t>Town of New Shoreham, USFWS</t>
  </si>
  <si>
    <t>USFWS has an easement on this municipal property</t>
  </si>
  <si>
    <t>North Light</t>
  </si>
  <si>
    <t>White Tract</t>
  </si>
  <si>
    <t>ORV; beach segments fragmented in 3 sections but other public/NGO lands in between</t>
  </si>
  <si>
    <t>Risom Tracts</t>
  </si>
  <si>
    <t>2 adjacent tracts with conservation easement on north tract and ownership of south tract</t>
  </si>
  <si>
    <t>Mansion Beach</t>
  </si>
  <si>
    <t>historic lighthouse</t>
  </si>
  <si>
    <t>parking lot and recreational facilities adjacent to beach; revetment with no beach for ~360' in April 2012; breakwater at harbor at south end</t>
  </si>
  <si>
    <t>Cooneymus Swamp Easement</t>
  </si>
  <si>
    <t>Stevens Cove Easement</t>
  </si>
  <si>
    <t>Ocean View / Cullinan Easement</t>
  </si>
  <si>
    <t>park, conservation easement</t>
  </si>
  <si>
    <t>Clay Head Swamp (Lapham) Easement</t>
  </si>
  <si>
    <t>7 contiguous parcels</t>
  </si>
  <si>
    <t>immediately adjacent to Black Rock public/NGO lands to east; Lewis-Dickens Farm composed of 2 adjacent tracts with northwest one also having an easement from the state of RI</t>
  </si>
  <si>
    <t>nature preserve, conservation easements</t>
  </si>
  <si>
    <t>Town Neck (Horizons) Beach</t>
  </si>
  <si>
    <t>Town Neck (Boardwalk) Beach</t>
  </si>
  <si>
    <t>4 groins; jetty at south end at Old Sandwich Harbor inlet</t>
  </si>
  <si>
    <t>East Sandwich Beach</t>
  </si>
  <si>
    <t>public beach (0.91 mi)</t>
  </si>
  <si>
    <t>7 groins; private development adjacent to beach</t>
  </si>
  <si>
    <t>Sandy Neck Colony of buildings and shoreline stabilization structures on bayside of Barnstable Harbor inlet shoreline at south end of park</t>
  </si>
  <si>
    <t>Carltow Beach</t>
  </si>
  <si>
    <t>semi-public beach (0.12 mi)</t>
  </si>
  <si>
    <t>Longhill Beach</t>
  </si>
  <si>
    <t>semi-public beach (0.10 mi)</t>
  </si>
  <si>
    <t>Torrey Beach Community Association Beach</t>
  </si>
  <si>
    <t>semi-public beach</t>
  </si>
  <si>
    <t>jetty at Scorton Creek inlet at north end</t>
  </si>
  <si>
    <t>Chapin 4x4 Beach</t>
  </si>
  <si>
    <t>revetment at the beach terminus of Chapin Beach Road and along the beachfront of Dr Botero Road</t>
  </si>
  <si>
    <t>Mayflower Beach</t>
  </si>
  <si>
    <t>Corporation Beach</t>
  </si>
  <si>
    <t>groin, revetment and breakwater at west end</t>
  </si>
  <si>
    <t>2 groins; jetty at west end at Sesuit Harbor</t>
  </si>
  <si>
    <t>Sea Street East Beach</t>
  </si>
  <si>
    <t>2 groins; private development set back from beach</t>
  </si>
  <si>
    <t>Crowes Beach</t>
  </si>
  <si>
    <t>park, semi-public beach</t>
  </si>
  <si>
    <t>Wing Island Beach</t>
  </si>
  <si>
    <t>Town of Brewster</t>
  </si>
  <si>
    <t>Paines Creek Beach</t>
  </si>
  <si>
    <t>Cape Cod Museum of Natural History</t>
  </si>
  <si>
    <t>2 groins and revetment connecting them at west end</t>
  </si>
  <si>
    <t>Brewster Park Sunhouse Beach</t>
  </si>
  <si>
    <t>public beach (0.11 mi)</t>
  </si>
  <si>
    <t>2 groins, one at each end of beach; private development adjacent to beach</t>
  </si>
  <si>
    <t>Sears Point Beach</t>
  </si>
  <si>
    <t>public beach (0.12 mi)</t>
  </si>
  <si>
    <t>2 groins; 2 revetments; sand fencing; private development adjacent to beach</t>
  </si>
  <si>
    <t>Breakwater Landing Beach</t>
  </si>
  <si>
    <t>public beach (total length 0.17 mi)</t>
  </si>
  <si>
    <t>2 revetments; 2 groins; private development adjacent to beach on west end, parking lot on east end</t>
  </si>
  <si>
    <t>King's Grant Beach</t>
  </si>
  <si>
    <t>public beach (0.08 mi)</t>
  </si>
  <si>
    <t>Pilgrim Pine Acres Beach</t>
  </si>
  <si>
    <t>Sea Pines Beach</t>
  </si>
  <si>
    <t>1 groin; 2 revetments; 1 bulkhead/seawall; private development adjacent to beach</t>
  </si>
  <si>
    <t>Ocean Edge Beach</t>
  </si>
  <si>
    <t>public beach (0.18 mi)</t>
  </si>
  <si>
    <t>Cape Cod Sea Camps Bay Beach</t>
  </si>
  <si>
    <t>recreational facilities adjacent to beach</t>
  </si>
  <si>
    <t>Spruce Hill Beach</t>
  </si>
  <si>
    <t>public beach (0.05 mi)</t>
  </si>
  <si>
    <t>Quail Acres Beach</t>
  </si>
  <si>
    <t>5 groins; inholding parcel at Crosby Landing with parking lot owned by Town of Brewster</t>
  </si>
  <si>
    <t>Skacket Beach Condos Beach</t>
  </si>
  <si>
    <t>revetment at southern end</t>
  </si>
  <si>
    <t>Skacket Beach</t>
  </si>
  <si>
    <t>private development on south side of road near beach</t>
  </si>
  <si>
    <t>Town of Orleans</t>
  </si>
  <si>
    <t>Rock Harbor Beach</t>
  </si>
  <si>
    <t>groin, boat ramp and parking lot at Rock Harbor inlet</t>
  </si>
  <si>
    <t>Town of Eastham</t>
  </si>
  <si>
    <t>Dyer Prince Beach</t>
  </si>
  <si>
    <t>groin at Rock Harbor inlet</t>
  </si>
  <si>
    <t>Boat Meadow Beach</t>
  </si>
  <si>
    <t>First Encounter Beach</t>
  </si>
  <si>
    <t>parking lot at north end directly adjacent to beach</t>
  </si>
  <si>
    <t>Bay View Road Beach</t>
  </si>
  <si>
    <t>semi-public beach (0.32 mi)</t>
  </si>
  <si>
    <t>Dunes Association &amp; Cranberry Cottages Beaches</t>
  </si>
  <si>
    <t>semi-public beach (total length 0.21 mi)</t>
  </si>
  <si>
    <t>revetment along entire Cranberry Cottages Beach; private development adjacent to beach</t>
  </si>
  <si>
    <t>MA, Town of Eastham</t>
  </si>
  <si>
    <t>park, public beach (total length 0.14 mi)</t>
  </si>
  <si>
    <t>Saltworks Association &amp; Sunken Meadow Beaches</t>
  </si>
  <si>
    <t>sand fencing; small parking lot directly adjacent to beach</t>
  </si>
  <si>
    <t>Mass Audubon</t>
  </si>
  <si>
    <t>Wellfleet Bay Wildlife Sanctuary</t>
  </si>
  <si>
    <t>revetment and groin field along private development adjacent to south</t>
  </si>
  <si>
    <t>MA Dept. of Fish and Game</t>
  </si>
  <si>
    <t>Fox Island Salt Marsh</t>
  </si>
  <si>
    <t>Town of Wellfleet</t>
  </si>
  <si>
    <t>breakwater/jetty at Wellfleet Harbor (Duck Creek) Inlet</t>
  </si>
  <si>
    <t>Indian Neck Beach</t>
  </si>
  <si>
    <t>1 groin; recreational facilities; town pier adjacent to east</t>
  </si>
  <si>
    <t>Mayo (Kendrick) Beach</t>
  </si>
  <si>
    <t>Town Landing Beach</t>
  </si>
  <si>
    <t>4 groins; 2 bulkheads/seawalls; private development adjacent to beach</t>
  </si>
  <si>
    <t>Corn Hill Beach</t>
  </si>
  <si>
    <t>NPS</t>
  </si>
  <si>
    <t>Town of Truro</t>
  </si>
  <si>
    <t>large parking lot near beach</t>
  </si>
  <si>
    <t>national seashore</t>
  </si>
  <si>
    <t>Seasurf Beach</t>
  </si>
  <si>
    <t>semi-public beach (0.11 mi)</t>
  </si>
  <si>
    <t>private cottages with bulkhead/seawall along entire beach</t>
  </si>
  <si>
    <t>Day's Cottages Beach</t>
  </si>
  <si>
    <t>semi-public beach (0.16 mi)</t>
  </si>
  <si>
    <t>3 groins; private cottages with bulkhead/seawall along entire beach</t>
  </si>
  <si>
    <t>Pilgrim Beach</t>
  </si>
  <si>
    <t>4 groins; private development with nearly continuous bulkheads/seawalls directly adjacent to beach at south end</t>
  </si>
  <si>
    <t>Town Landing - Breakwater Beach</t>
  </si>
  <si>
    <t>Town of Provincetown</t>
  </si>
  <si>
    <t>semi-public beach (total length 1.98 mi)</t>
  </si>
  <si>
    <t>public beach (0..27 mi)</t>
  </si>
  <si>
    <t>private development adjacent to beach; fragmented in 2 sections</t>
  </si>
  <si>
    <t>637 Commercial Street Beach</t>
  </si>
  <si>
    <t>5 groins; seawall/bulkhead along nearly entire length; private development directly adjacent to beach</t>
  </si>
  <si>
    <t>Kendal Lane Beach</t>
  </si>
  <si>
    <t>public beach (0.09 mi)</t>
  </si>
  <si>
    <t>2 groins; seawall/bulkhead along nearly entire length; private development directly adjacent to beach</t>
  </si>
  <si>
    <t>333 Commercial Street Beach</t>
  </si>
  <si>
    <t>bulkhead with piers and large parking lot directly adjacent to southwest; private development adjacent to beach</t>
  </si>
  <si>
    <t>bulkhead with piers and large parking lot directly adjacent to northeast; private development adjacent to beach</t>
  </si>
  <si>
    <t>Ryder Street Beach</t>
  </si>
  <si>
    <t>29 Commercial Street Beach</t>
  </si>
  <si>
    <t>2 bulkheads/seawalls; private development adjacent to beach; revetment in adajecent property to south with no beach</t>
  </si>
  <si>
    <t>Refuge also has sandy beaches on North Monomoy and Morris Islands that are not directly exposed and are excluded here</t>
  </si>
  <si>
    <t>asphalt revetment at Herring Cove; ORV; private inholdings adjacent to beach in several locations; public municipal beaches overlay some areas</t>
  </si>
  <si>
    <t>Hardings Beach</t>
  </si>
  <si>
    <t>Town of Chatham</t>
  </si>
  <si>
    <t>dredging of Chatham (Stage) Harbor inlet at south end; may receive dredge spoil</t>
  </si>
  <si>
    <t>Ridgevale Beach</t>
  </si>
  <si>
    <t>Forest Street Beach</t>
  </si>
  <si>
    <t>terminal groin at Mill Creek Inlet; 8 other groins</t>
  </si>
  <si>
    <t>Pleasant Street Beach</t>
  </si>
  <si>
    <t>semi-public beach (0.07 mi)</t>
  </si>
  <si>
    <t>1 groin; contiguous with Pleasant Street Beach</t>
  </si>
  <si>
    <t>1 groin; contiguous with Tides Motel Beach</t>
  </si>
  <si>
    <t>Tides Motel Beach</t>
  </si>
  <si>
    <t>Town of Harwich</t>
  </si>
  <si>
    <t>Red River Beach</t>
  </si>
  <si>
    <t>Town of Yarmouth</t>
  </si>
  <si>
    <t>Three Bays Preservation</t>
  </si>
  <si>
    <t>Sampson Island</t>
  </si>
  <si>
    <t>Dead Neck Island</t>
  </si>
  <si>
    <t>Dowses Beach</t>
  </si>
  <si>
    <t>Craigville Beach</t>
  </si>
  <si>
    <t>Kalmas Ocean Beach</t>
  </si>
  <si>
    <t>Seagull (Center) Beach</t>
  </si>
  <si>
    <t>West Dennis Beach</t>
  </si>
  <si>
    <t>Bass River Beach</t>
  </si>
  <si>
    <t>Allen Harbor Beach</t>
  </si>
  <si>
    <t>9 groins; bulkhead/seawall along most of parking lot</t>
  </si>
  <si>
    <t>Merkel Beach (Snow Inn Road)</t>
  </si>
  <si>
    <t>breakwater for Wychmere Harbor at east end; private development set well back from beach</t>
  </si>
  <si>
    <t>public beaches (total length 0.14 mi)</t>
  </si>
  <si>
    <t>4 groins; revetment and private development adjacent to entire beach; 3 contiguous public beaches</t>
  </si>
  <si>
    <t>Atlantic Avenue, Zylpha &amp; Wyndmere Bluffs Beaches</t>
  </si>
  <si>
    <t>jetty at Doanes Creek (Allen Harbor) at east end</t>
  </si>
  <si>
    <t>Pleasant Road Beach</t>
  </si>
  <si>
    <t>groin at east end; large parking lot along half of beach</t>
  </si>
  <si>
    <t>Old Mill Point Association Beach</t>
  </si>
  <si>
    <t>jetty to Herring River at west end; 4 grpoms; private development adjacent to beach</t>
  </si>
  <si>
    <t>semi-public beach (0.40 mi)</t>
  </si>
  <si>
    <t>Sea Street Beach</t>
  </si>
  <si>
    <t>4 groins; revetment along parking lot for entire beach length</t>
  </si>
  <si>
    <t>South Village Beach</t>
  </si>
  <si>
    <t>jetty on Swan Pond River at east end; private development adjacent to beach</t>
  </si>
  <si>
    <t>jetty on Bass River inlet at west end; wood bulkhead along long parking lot; 1 groin at east end</t>
  </si>
  <si>
    <t>jetty on Bass River inlet at east end; large parking lots adjacent to beach</t>
  </si>
  <si>
    <t>Parkers River Beach (East &amp; West)</t>
  </si>
  <si>
    <t>2 groins; revetment along entire beach; large parking lots adjacent to beach</t>
  </si>
  <si>
    <t>jetty at Parker's River at east end; large parking lot at east end</t>
  </si>
  <si>
    <t>Great Island Ocean Club Beach</t>
  </si>
  <si>
    <t>public beach (0.26 mi)</t>
  </si>
  <si>
    <t>1 groin at east end; revetment at west end (445'); 1 bulkhead/seawall (78'); private development adjacent to beach</t>
  </si>
  <si>
    <t>jetty to Lewis Bay (Hyannis Harbor) at east end; 1 groin at west end; large parking lots at west end</t>
  </si>
  <si>
    <t>Keyes Beach</t>
  </si>
  <si>
    <t>1 groin; another groin on private property adjacent to east; private property adjacent to beach at east end</t>
  </si>
  <si>
    <t>East (Town) Beach</t>
  </si>
  <si>
    <t>pier adjacent to south end</t>
  </si>
  <si>
    <t>semi-public beach (0.56 mi)</t>
  </si>
  <si>
    <t>jetty at Halls Creek inlet at south end; private development adjacent to beach</t>
  </si>
  <si>
    <t>West Hyannipsort Beach Association Beach</t>
  </si>
  <si>
    <t>Covell's Beach</t>
  </si>
  <si>
    <t>parking lot along entire beach</t>
  </si>
  <si>
    <t>915 Craigville Road Beach</t>
  </si>
  <si>
    <t>private development adjacent to beach; contiguous with Craigville Beach</t>
  </si>
  <si>
    <t>Craigville Beach Club Beach</t>
  </si>
  <si>
    <t>semi-public beach (0.06 mi)</t>
  </si>
  <si>
    <t>jetty at northeast end at East Bay (Centerville River) inlet; revetment at south end; groins on adjacent property to south</t>
  </si>
  <si>
    <t>jetty at east end on West Bay inlet; beach fill</t>
  </si>
  <si>
    <t>Poponesset Spit Beach</t>
  </si>
  <si>
    <t>Town of Mashpee</t>
  </si>
  <si>
    <t>private property adjacent to beach at south end; state Popponesset Beach Shore Fishing Area overlay at south end</t>
  </si>
  <si>
    <t>Poponesset Beach</t>
  </si>
  <si>
    <t>9 groins; private property with several bulkheads/seawalls adjacent to all but beach at south end; state Popponesset Beach Shore Fishing Area overlay at north end</t>
  </si>
  <si>
    <t>public beach (total length 0.71 mi)</t>
  </si>
  <si>
    <t>New Seabury Inn Beach</t>
  </si>
  <si>
    <t>semi-public beach (0.42 mi)</t>
  </si>
  <si>
    <t>private property adjacent to beach</t>
  </si>
  <si>
    <t>Maushup Village</t>
  </si>
  <si>
    <t>semi-public beach (0.14 mi)</t>
  </si>
  <si>
    <t>revetment along entire beach; private property adjacent to beach</t>
  </si>
  <si>
    <t>Waquoit Bay NERR (South Cape Beach State Park)</t>
  </si>
  <si>
    <t>state park, NERR</t>
  </si>
  <si>
    <t>South Cape Beach</t>
  </si>
  <si>
    <t>jetty at Waquoit Bay inlet at west end; fragmented into 2 parcels separated by South Cape Beach</t>
  </si>
  <si>
    <t>Waquoit Bay NERR (Washburn Island)</t>
  </si>
  <si>
    <t>large parking lot adjacent to beach</t>
  </si>
  <si>
    <t>jetty at Waquoit Bay inlet at east end</t>
  </si>
  <si>
    <t>Menauhant Beach</t>
  </si>
  <si>
    <t>Town of Falmouth</t>
  </si>
  <si>
    <t>4 groins; revetment at west end; 2 jetties at Bournes Pond Inlet which is dredged annually; beach fill (dredge spoil) west of inlet; inlet artificially opened 1980s</t>
  </si>
  <si>
    <t>Noman's Land Island NWR</t>
  </si>
  <si>
    <t>Acapesket Improvement Association Beach</t>
  </si>
  <si>
    <t>Bristol 1 Beach</t>
  </si>
  <si>
    <t>Bristol 2 Beach</t>
  </si>
  <si>
    <t>Little Pond Inlet with 2 jetties splits the beach; 1 groin and revetment on east side, 1 groin adjacent to west side; large parking lots adjacent to beach; inlet is dredged regularly, and has repeatedly been artificially opened following closure</t>
  </si>
  <si>
    <t>jetty at Great Pond inlet at east end; 2 groins; 1 bulkhead/seawall; 1 revetment at east end; dredge disposal from inlet; Menauhant Road directly adjacent to beach</t>
  </si>
  <si>
    <t>jetty at Green Pond Inlet at east end; groin at private property at west end; dredge disposal from inlet</t>
  </si>
  <si>
    <t>Falmouth Heights Beach</t>
  </si>
  <si>
    <t>3 groins; 1 groin adjacent to east; seawall along almost entire beach; parking lot and Grand Avenue adjacent to beach</t>
  </si>
  <si>
    <t>No Name Beach</t>
  </si>
  <si>
    <t xml:space="preserve">jetty at Falmouth Harbor inlet at east end; revetment along entire beach; private development adjacent to beach </t>
  </si>
  <si>
    <t>1 groin at east end; revetment along Grand Avenue directly adjacent to entire beach</t>
  </si>
  <si>
    <t>semi-public beaches (total length 0.11 mi)</t>
  </si>
  <si>
    <t>Yacht Club &amp; Tides Hotel Beaches</t>
  </si>
  <si>
    <t>Surf Drive Beach</t>
  </si>
  <si>
    <t>Mill Road Beach</t>
  </si>
  <si>
    <t>1 jetty at Siders Pond outlet at east end; Surf Drive adjacent to beach</t>
  </si>
  <si>
    <t>1 breakwater; 1 groin; 2 bulkhead/seawalls around large parking lot at east end; 1 jetty at Siders Pond outlet at west end; Surf Drive adjacent to beach</t>
  </si>
  <si>
    <t>7 groins; jetty at Salt Pond outlet at east end; remnant riprap near east end; Surf Drive / Beach Road directly adjacent to very narrow beach; revetment at southwest end</t>
  </si>
  <si>
    <t>semi-public beach (total 0.39 mi)</t>
  </si>
  <si>
    <t>FBBC &amp; Falmouth Associates - 564 Surf Drive Beaches</t>
  </si>
  <si>
    <t>Bikepath Beach</t>
  </si>
  <si>
    <t>semi-public beach (0.48 mi)</t>
  </si>
  <si>
    <t>Fay Road Beach</t>
  </si>
  <si>
    <t>2 revetments along the bike path (925', 535'); 2 jetties at Trunk River (Oyster Pond) inlet; inlet has been dredged; bike path directly adjacent to the beach</t>
  </si>
  <si>
    <t>3 groins; revetment at north end; private development adjacent to beach</t>
  </si>
  <si>
    <t>Nobska Beach Association Beach</t>
  </si>
  <si>
    <t>Church Street adjacent to beach; revetments on adjacent property to northwest and southeast</t>
  </si>
  <si>
    <t>Gosnold WMA (Cuttyhunk Island)</t>
  </si>
  <si>
    <t>Stoney Beach (MBL)</t>
  </si>
  <si>
    <t>park, public beach (total length 0.10 mi)</t>
  </si>
  <si>
    <t>1 groins; tennis court and parking area adjacent to beach at west end; private development with bulkhead/seawall adjacent to beach at east end</t>
  </si>
  <si>
    <t>semi-public beach (0.37 mi)</t>
  </si>
  <si>
    <t>Valley Road Beach</t>
  </si>
  <si>
    <t>revetment along Racing Beach Ave. directly adjacent to entire beach</t>
  </si>
  <si>
    <t>Seacoast Shores Associates, Inc. Beach</t>
  </si>
  <si>
    <t>semi-public beach (0.09 mi)</t>
  </si>
  <si>
    <t>revetment at north end; private development adjacent to beach</t>
  </si>
  <si>
    <t>Sippewissett Beach Trust Beach</t>
  </si>
  <si>
    <t>groin and revetment with 1 private property at south end; 1 groin at north end</t>
  </si>
  <si>
    <t>Wood Neck Beach</t>
  </si>
  <si>
    <t>1 groin at south end with Sippewissett Beach Trust Beach; 1 groin in center of parcel</t>
  </si>
  <si>
    <t>Saconessett Hills Association</t>
  </si>
  <si>
    <t>2 groins and revetment at north end; private development adjacent to beach</t>
  </si>
  <si>
    <t>Chapoquoit Beach</t>
  </si>
  <si>
    <t>revetment along parking lot and Chapoquoit Road at north half; recreational facilities adjacent to beach</t>
  </si>
  <si>
    <t>Chapoquoit Associates - Front Beach</t>
  </si>
  <si>
    <t>semi-public beach (0.19 mi)</t>
  </si>
  <si>
    <t>1 groin; revetment and Chapoquoit Road directly adjacent to beach</t>
  </si>
  <si>
    <t>Little Island Beach Preserve</t>
  </si>
  <si>
    <t>Little Island Trust, Town of Falmouth</t>
  </si>
  <si>
    <t>Jetty Lane Beach</t>
  </si>
  <si>
    <t>1 groin; private development near beach</t>
  </si>
  <si>
    <t>Old Silver 2 Beach</t>
  </si>
  <si>
    <t>2 jetties at Herring Brook; 1 groin and large parking lots south of inlet; 1 seawall along parking lot north of inlet</t>
  </si>
  <si>
    <t>Seaquest Motel Beach</t>
  </si>
  <si>
    <t>semi-public beach (0.17 mi)</t>
  </si>
  <si>
    <t>1 groin at north end; private development with several revetments adjacent to beach</t>
  </si>
  <si>
    <t>Old Silver 1 Beach</t>
  </si>
  <si>
    <t>2 groins; private development with seawalls/bulkheads adjacent to beach</t>
  </si>
  <si>
    <t>Bayshore Homeowners Association Beahc</t>
  </si>
  <si>
    <t>semi-public beach (0.53 mi)</t>
  </si>
  <si>
    <t>4 groins; private development with several bulkheads/seawalls adjacent to beach</t>
  </si>
  <si>
    <t>Wild Harbor Beach</t>
  </si>
  <si>
    <t>2 groins; private development adjacent to beach</t>
  </si>
  <si>
    <t>2 groins; jetty at Wild Harbor Boat Basin; private development with 3 sewalls/bulkheads adjacent to beach</t>
  </si>
  <si>
    <t>semi-public beach (0.21 mi)</t>
  </si>
  <si>
    <t>New Silver Beach (Silver Beach Improvement Association)</t>
  </si>
  <si>
    <t>Megansett Beach</t>
  </si>
  <si>
    <t>breakwater at Megansett Harbor inlet; seawalls/bulkheads along parking lot and adjacent private property</t>
  </si>
  <si>
    <t>Wings Neck Trust Association North Beach</t>
  </si>
  <si>
    <t>3 groins</t>
  </si>
  <si>
    <t>Tahanto Associates, Inc., Beach</t>
  </si>
  <si>
    <t>jetty at Pocasset River inlet at west end; 1 groin</t>
  </si>
  <si>
    <t>Monument Beach</t>
  </si>
  <si>
    <t>pier with jetty and marina; 2 groins at boat ramp at south end; large parking lot; railroad adjacent to beach</t>
  </si>
  <si>
    <t>site of former inlet closed with dredge spoil from Cape Cod Canal; Mashnee Road causeway</t>
  </si>
  <si>
    <t>Stony Point Dike</t>
  </si>
  <si>
    <t>Mashnee Island Dike</t>
  </si>
  <si>
    <t>dike</t>
  </si>
  <si>
    <t>dike, dredge spoil site (historically)</t>
  </si>
  <si>
    <t>Little Harbor Beach</t>
  </si>
  <si>
    <t>Town of Wareham</t>
  </si>
  <si>
    <t>most of dike is armored with a revetment but a few pockets of sandy beach total 0.73 miles</t>
  </si>
  <si>
    <t>3 groins; large parking lot adjacent to beach at east end</t>
  </si>
  <si>
    <t>Swift's Neck Beach</t>
  </si>
  <si>
    <t>2 revetments at boat ramp; parking lots adjacent to beach</t>
  </si>
  <si>
    <t>Swift's Beach</t>
  </si>
  <si>
    <t>2 groins; private development with bulkheads/sewalls adjacent to beach</t>
  </si>
  <si>
    <t>Piney Point Beach</t>
  </si>
  <si>
    <t>revetment at north end; jetty to a pond outlet at south end; recreational facilities adjacent to beach at north end</t>
  </si>
  <si>
    <t>Planting Island Beach</t>
  </si>
  <si>
    <t>Town of Marion</t>
  </si>
  <si>
    <t>revetment along Island Road along entire beach; groins on adjacent private property to both southeast and northwest</t>
  </si>
  <si>
    <t>Silver Shell Beach</t>
  </si>
  <si>
    <t>2 groins; stone bulkhead/seawall along parking lot with no beach for 0.04 mi in April 2012 at south end</t>
  </si>
  <si>
    <t>public beach (total length 0.14 mi)</t>
  </si>
  <si>
    <t>Town of Mattapoisett</t>
  </si>
  <si>
    <t>unnamed Town beach off Aucoot Road</t>
  </si>
  <si>
    <t>bulkhead/seawall on private property adjacent to north</t>
  </si>
  <si>
    <t>Hollywoods Beach</t>
  </si>
  <si>
    <t>3 groins; boat ramp; revetment along entire beach</t>
  </si>
  <si>
    <t>Peases Point Beach</t>
  </si>
  <si>
    <t>semi-public beach (total length 0.22 mi)</t>
  </si>
  <si>
    <t>6 groins; revetment along entire beach; private property adjacent to beach at south end</t>
  </si>
  <si>
    <t>Bay Road Beach</t>
  </si>
  <si>
    <t>semi-public breach (total length 0.15 mi)</t>
  </si>
  <si>
    <t>1 groin; private property adjacent to beach at southwest end; revetment on adjacent property to southwest and northeast with no beaches in April 2012</t>
  </si>
  <si>
    <t>semi-public beach (0.20 mi)</t>
  </si>
  <si>
    <t>7 groins; 1 bulkhead/seawall; private property adjcent to beach</t>
  </si>
  <si>
    <t>Land Trust Reservation Beach</t>
  </si>
  <si>
    <t>semi-public beach (total length 0.65 mi)</t>
  </si>
  <si>
    <t>revetment with no beach for 0.10 mi at northeast end; 2 groins; revetment south of Eel Pond inlet (99') near end of road loop; private property adjacent to beach in a few areas</t>
  </si>
  <si>
    <t>Mattapoisett Shores Association Beach</t>
  </si>
  <si>
    <t>7 groins; 1 revetment; 2 bulkheads/seawalls; private development adjacent to beach</t>
  </si>
  <si>
    <t>Antasawomak Beach</t>
  </si>
  <si>
    <t>public beach (total length 0.55 mi)</t>
  </si>
  <si>
    <t>4 revetments; 1 bulkhead/seawall; 5 groins; private development adjacent to central part of beach</t>
  </si>
  <si>
    <t>Mattapoisett Land Trust Beach</t>
  </si>
  <si>
    <t>semi-public beach (total length 0.20 mi)</t>
  </si>
  <si>
    <t>3 groins; 2 revetments along Brandt Island Shores causeway and adjacent shorelines; 1 bulkhead/seawall at boat yard; private development adjacent to beach at east end</t>
  </si>
  <si>
    <t>Leisure Shores Beach</t>
  </si>
  <si>
    <t>Mattapoisett Land Trust</t>
  </si>
  <si>
    <t>MA, Mattapoisett Land Trust</t>
  </si>
  <si>
    <t>Howard Beach</t>
  </si>
  <si>
    <t>semi-public beach (total length 0.13 mi)</t>
  </si>
  <si>
    <t>6 groins; 2 bulkheads/seawalls; private property adjacent to most of shoreline, some areas without beach in April 2012</t>
  </si>
  <si>
    <t>Brant Beach</t>
  </si>
  <si>
    <t>semi-public beach (0.31 mi)</t>
  </si>
  <si>
    <t>9 groins; stone revetment or concrete bulkhead/seawall along nearly entire shoreline, most of which has no beach in April 2012; private development adjacent to beach</t>
  </si>
  <si>
    <t>Nasketucket Bay State Reservation</t>
  </si>
  <si>
    <t>some portions of beach are rocky</t>
  </si>
  <si>
    <t>West Island State  Reservation</t>
  </si>
  <si>
    <t>Bristol</t>
  </si>
  <si>
    <t>beaches are patchy on west facing shoreline</t>
  </si>
  <si>
    <t>West Island Town Beach</t>
  </si>
  <si>
    <t>Town of Fairhaven</t>
  </si>
  <si>
    <t>private property with groins adjacent to northwest boundary</t>
  </si>
  <si>
    <t>Fairhaven Acushnet Land Preservation Trust</t>
  </si>
  <si>
    <t>Winseganett Beaches</t>
  </si>
  <si>
    <t>private property with groins adjacent to north boundary</t>
  </si>
  <si>
    <t>Manhattan Avenue Beach</t>
  </si>
  <si>
    <t>Fort Phoneix State Reservation</t>
  </si>
  <si>
    <t>park, public beach (total length 0.56 mi)</t>
  </si>
  <si>
    <t>3 groins; seawall/bulkhead along west parking lot; recreational facilities; west end at Fort is rocky shore</t>
  </si>
  <si>
    <t>Town of New Bedford</t>
  </si>
  <si>
    <t>O'Tools Extension, O'Tools, Tower 1-4 Beaches</t>
  </si>
  <si>
    <t>5 groins that compartmentalize beach sections; bulkhead/seawall along E Rodney French Blvd along all beaches; road and private development or parking lots adjacent to beach</t>
  </si>
  <si>
    <t>Tabor Beaches</t>
  </si>
  <si>
    <t>6 groins</t>
  </si>
  <si>
    <t>J Beach, 400 North and Kids Beaches</t>
  </si>
  <si>
    <t>3 groins; concrete seawall/bulkhead along W Rodney French  Blvd directly adjacent to beaches</t>
  </si>
  <si>
    <t>Jones Town Beach</t>
  </si>
  <si>
    <t>Town of Dartmouth</t>
  </si>
  <si>
    <t>Anthony's Beach</t>
  </si>
  <si>
    <t>private development with bulkheads/seawalls along northeast end; recreational facilities and bulkhead/seawall along south end</t>
  </si>
  <si>
    <t>Nonquitt Beach</t>
  </si>
  <si>
    <t>semi-public beach (total length 2.02 mi)</t>
  </si>
  <si>
    <t>4 groins; 8 revetments; 1 bulkhead/seawall; 0.30 mi of revetment with no beach at Round Hill Point; private development adjacent to nearly entire beach; a few rock outcrops</t>
  </si>
  <si>
    <t>Round Hill Condos Beach</t>
  </si>
  <si>
    <t>3 groins; boat ramp; bulkhead/seawall at parking lot</t>
  </si>
  <si>
    <t>Round Hill Beach</t>
  </si>
  <si>
    <t>5 sections of revetment</t>
  </si>
  <si>
    <t>Salter's Point South Beach</t>
  </si>
  <si>
    <t>1 groin</t>
  </si>
  <si>
    <t>Mishaum Beach</t>
  </si>
  <si>
    <t>Demarest Lloyd State Park</t>
  </si>
  <si>
    <t>portions of beach may have more cobbles than sand</t>
  </si>
  <si>
    <t>Barney's Joy Beach</t>
  </si>
  <si>
    <t>East Beach</t>
  </si>
  <si>
    <t>Town of Westport</t>
  </si>
  <si>
    <t>Horseneck Beach State Reservation</t>
  </si>
  <si>
    <t>3 groins; boat ramp; fragmented in 4 tracts; very large parking lots on main west beach; possible beach fill</t>
  </si>
  <si>
    <t>Baker's Beach</t>
  </si>
  <si>
    <t>groin at Westport River inlet at west end</t>
  </si>
  <si>
    <t>Beach Avenue Beach</t>
  </si>
  <si>
    <t>revetment on private property adjacent to west</t>
  </si>
  <si>
    <t>Elephant Beach</t>
  </si>
  <si>
    <t>1 revetment (132') near west end; Atlantic Avenue adjacent to beach</t>
  </si>
  <si>
    <t>C &amp; K Club Beach</t>
  </si>
  <si>
    <t>Nantucket Conservation Foundation</t>
  </si>
  <si>
    <t>Coatue Preserve</t>
  </si>
  <si>
    <t>Nantucket</t>
  </si>
  <si>
    <t>Coskata - Coatue Wildlife Refuge</t>
  </si>
  <si>
    <t>Trustees of Reservations</t>
  </si>
  <si>
    <t>Nantucket NWR</t>
  </si>
  <si>
    <t>jetty at Nantucket Harbor inlet at southwest end; ORV; a few private inholdings</t>
  </si>
  <si>
    <t>Muskeget Island</t>
  </si>
  <si>
    <t>Nantucket Land Bank</t>
  </si>
  <si>
    <t>ORV; a few private inholdings; stone revetment on southeast end by small pond</t>
  </si>
  <si>
    <t>stone revetment at northwest end by small pond</t>
  </si>
  <si>
    <t>Squam Pond</t>
  </si>
  <si>
    <t>pond is breached annually south of the tract</t>
  </si>
  <si>
    <t>Tom Nevers Beach</t>
  </si>
  <si>
    <t>Town of Nantucket</t>
  </si>
  <si>
    <t>Nantucket Fairgrounds adjacent to beach</t>
  </si>
  <si>
    <t>Madequecham &amp; Tom Nevers Preserve</t>
  </si>
  <si>
    <t>habitat fragmentation due to preserves consisting of 28 parcels, several with beachfront</t>
  </si>
  <si>
    <t>Surfside 2 Beach</t>
  </si>
  <si>
    <t>airport adjacent to beach</t>
  </si>
  <si>
    <t>sewage treatment plant adjacent to beach</t>
  </si>
  <si>
    <t>Miacoment &amp; Sewerbeds Beaches</t>
  </si>
  <si>
    <t>Cisco Beach</t>
  </si>
  <si>
    <t>east end owned by Town, west end by Foundation</t>
  </si>
  <si>
    <t>Town of Nantucket, Nantucket Conservation Foundation</t>
  </si>
  <si>
    <t>Sanford Farm &amp; Ram Pasture</t>
  </si>
  <si>
    <t>fragmented into 2 tracts</t>
  </si>
  <si>
    <t>Head of the Plains</t>
  </si>
  <si>
    <t>west part of island owned by Land Bank; conservation easement on the remaining private portion; USFWS has proposed acquisition of the island as part of the Nantucket NWR CCP</t>
  </si>
  <si>
    <t>Eel Point Preserve</t>
  </si>
  <si>
    <t>historical ditching of salt marsh now exposed in peat/marsh sediments on some areas of beach</t>
  </si>
  <si>
    <t>40th Pole 2 Beach</t>
  </si>
  <si>
    <t>Dionis Beach</t>
  </si>
  <si>
    <t>Capaum Pond Beach</t>
  </si>
  <si>
    <t>bulkhead/seawall protruding onto beach on private property adjacent to the west</t>
  </si>
  <si>
    <t>Washing Pond Beach</t>
  </si>
  <si>
    <t>contiguous to Capaum Pond parcel to west</t>
  </si>
  <si>
    <t>Sankaty Beach tract (off Butterfly Lane)</t>
  </si>
  <si>
    <t>Low Beach tracts</t>
  </si>
  <si>
    <t>Town of Nantucket, Nantucket Islands Land Bank</t>
  </si>
  <si>
    <t>5 contiguous parcels off Low Beach Road owned by Town and Land Bank</t>
  </si>
  <si>
    <t>USCG LORAN Station</t>
  </si>
  <si>
    <t>US Coast Guard</t>
  </si>
  <si>
    <t>military station</t>
  </si>
  <si>
    <t>USFWS has proposed acquisition of the property for the Nantucket NWR</t>
  </si>
  <si>
    <t>2 adjacent beachfront parcels owned by Town and Land Bank but privately owned parcels directly adjacent on back portion of beach (4 owned by Nantucket Conservation Foundation)</t>
  </si>
  <si>
    <t>Wanoma Way beach tracts</t>
  </si>
  <si>
    <t>Nantucket Islands Land Bank</t>
  </si>
  <si>
    <t>South Shore beach tract</t>
  </si>
  <si>
    <t>Tom Nevers Road beach</t>
  </si>
  <si>
    <t>Surfside Beach</t>
  </si>
  <si>
    <t>Smooth Hummocks beach</t>
  </si>
  <si>
    <t>Nantucket Islands Land Bank, Nantucket Conservation Foundation</t>
  </si>
  <si>
    <t>TNC, Town of Nantucket, Nantucket Islands Land Bank</t>
  </si>
  <si>
    <t>Mioxes Pond breach tracts</t>
  </si>
  <si>
    <t>5 adjacent tracts; a beachfront tract seaward of the Bartlett Farm is owned by the Nantucket Conservation Foundation but was located seaward of the beach in April 2012</t>
  </si>
  <si>
    <t>Nantucket Conservation Foundation, Town of Nantucket, Nantucket Islands Land Bank</t>
  </si>
  <si>
    <t>Reedy Pond beach tracts</t>
  </si>
  <si>
    <t>7 adjacent tracts</t>
  </si>
  <si>
    <t>Smith Point / Esther Island</t>
  </si>
  <si>
    <t>Mass Audubon, Town of Nantucket, Nantucket Islands Land Bank, Nantucket County</t>
  </si>
  <si>
    <t>Little Neck tract</t>
  </si>
  <si>
    <t>total length is 0.53 miles but sandy beach is only present at the north end in April 2012</t>
  </si>
  <si>
    <t>Warren's Landing tract</t>
  </si>
  <si>
    <t>historical ditching of salt marsh behind beach</t>
  </si>
  <si>
    <t>Warren's Landing Beach</t>
  </si>
  <si>
    <t>Eel Point Road tracts</t>
  </si>
  <si>
    <t>nature preesrve</t>
  </si>
  <si>
    <t>4 adjacent parcels</t>
  </si>
  <si>
    <t>fragmented into 2 sections of beach fronting Sheep Pond and White Goose Cove</t>
  </si>
  <si>
    <t>Nantucket Conservation Foundation, Madaket Conservation Land Trust</t>
  </si>
  <si>
    <t xml:space="preserve">The Haulover </t>
  </si>
  <si>
    <t>Sesechacha Heathlands Wildlife Sanctuary</t>
  </si>
  <si>
    <t>Chappy Beach Club beach</t>
  </si>
  <si>
    <t>Dukes</t>
  </si>
  <si>
    <t>Cape Poge Wildlife Refuge (East Beach)</t>
  </si>
  <si>
    <t>Cape Poge Light</t>
  </si>
  <si>
    <t>lighthouse</t>
  </si>
  <si>
    <t>US government</t>
  </si>
  <si>
    <t>wildlife refuge</t>
  </si>
  <si>
    <t>2 groins near small parcel owned by Town of Edgartown; 3 sections of beach separated by private inholdings; ORV</t>
  </si>
  <si>
    <t>Trustees of Reservations, Town of Edgartown</t>
  </si>
  <si>
    <t>Leland Beach</t>
  </si>
  <si>
    <t>Trustees of Reservations, Commonwealth of MA</t>
  </si>
  <si>
    <t>Norton Point Beach</t>
  </si>
  <si>
    <t>Trustees of Reservations, Dukes County</t>
  </si>
  <si>
    <t>South (Katama) Beach</t>
  </si>
  <si>
    <t>MA, Town of Edgartown</t>
  </si>
  <si>
    <t>Long Point Wildlife Refuge</t>
  </si>
  <si>
    <t>Wasque Point</t>
  </si>
  <si>
    <t>beach is retreating quickly and shifts in space and form often</t>
  </si>
  <si>
    <t>Lucy Vincent Beach</t>
  </si>
  <si>
    <t>Town of Chilmark</t>
  </si>
  <si>
    <t>Squibnocket Beach</t>
  </si>
  <si>
    <t>1 groin; revetment (473') along Squibnocket Road; short revetment (33') at south end; private development adjacent to some parts of beach</t>
  </si>
  <si>
    <t>Vineyard Open Land Foundation, Town of Chilmark</t>
  </si>
  <si>
    <t>Vineyard Open Land Foundation</t>
  </si>
  <si>
    <t>Squibnocket Pond</t>
  </si>
  <si>
    <t>a privately owned parcel is adjacent to the Foundation tract on the seaward side, but the beach appears to have retreated on to the Foundation tract in March 2012</t>
  </si>
  <si>
    <t>Vineyard Conservation Society</t>
  </si>
  <si>
    <t>Moshup Trail tracts</t>
  </si>
  <si>
    <t>3 adjacent parcels off Moshup Trail northwest of Squibnocket Pond</t>
  </si>
  <si>
    <t>Moshup Beach</t>
  </si>
  <si>
    <t>private property adjacent to north shore beach; beach sediment supply is from coastal banks (bluffs) eroding, so beaches periodically have glacial boulders and landslides blocking beach</t>
  </si>
  <si>
    <t>Town of Aquinnah, Martha's Vineyard Land Bank Commission</t>
  </si>
  <si>
    <t>Lobsterville Beach</t>
  </si>
  <si>
    <t>Menemsha Beach</t>
  </si>
  <si>
    <t>2 groins; 1 jetty at Menemsha Creek inlet at southwest end; bulkhead/seawall fronting parking lot at south end</t>
  </si>
  <si>
    <t>Trustees of Reservations, Mass. Farm &amp; Conservation</t>
  </si>
  <si>
    <t>Menemsha Hills Reservation</t>
  </si>
  <si>
    <t>Great Rock Bight</t>
  </si>
  <si>
    <t>Martha's Vineyard Land Bank Commission</t>
  </si>
  <si>
    <t>private property adjacent to beach on top of bluff</t>
  </si>
  <si>
    <t>Cedar Tree Neck Sanctuary</t>
  </si>
  <si>
    <t>2 tracts separated by private property</t>
  </si>
  <si>
    <t>Town of West Tisbury</t>
  </si>
  <si>
    <t>Lambert's Cove Beach</t>
  </si>
  <si>
    <t>Mink Meadows beach</t>
  </si>
  <si>
    <t>2 jetties at unnamed inlet to pond</t>
  </si>
  <si>
    <t>Eastville Point Beach</t>
  </si>
  <si>
    <t>Dukes County, Town of Oak Bluffs</t>
  </si>
  <si>
    <t>jetty at Lagoon Pond inlet at west end</t>
  </si>
  <si>
    <t>Marinelli's Beach</t>
  </si>
  <si>
    <t>Town of Oak Bluffs</t>
  </si>
  <si>
    <t>jetty at Oak Bluffs Harbor Inlet at south end</t>
  </si>
  <si>
    <t>Yacht Club beach</t>
  </si>
  <si>
    <t>Pay Beach</t>
  </si>
  <si>
    <t>3 groins; 2 sections of bulkhead/seawall along Seaview Ave adjacent to beach</t>
  </si>
  <si>
    <t>Joseph Sylvia State Beach</t>
  </si>
  <si>
    <t>Dukes County, Commonwealth of MA</t>
  </si>
  <si>
    <t>4 jetties; 7 groins; beach fill; Beach Road adjacent to beach</t>
  </si>
  <si>
    <t>Little Beach</t>
  </si>
  <si>
    <t>most of beach sediment supply is from coastal banks (bluffs) eroding, so beaches may have rocky sections and landslides periodically blocking beach; eastern portion of island more rocky than sandy and excluded</t>
  </si>
  <si>
    <t>New London</t>
  </si>
  <si>
    <t>dredging of unnamed inlet adjacent to northwest</t>
  </si>
  <si>
    <t>Ram Point</t>
  </si>
  <si>
    <t>Avalonia Land Conservancy</t>
  </si>
  <si>
    <t>access through private property</t>
  </si>
  <si>
    <t>Esker Point Beach</t>
  </si>
  <si>
    <t>Town of Groton</t>
  </si>
  <si>
    <t>nature preserve, state park</t>
  </si>
  <si>
    <t>3 pocket sandy beaches separated by rocky or vegetated shorelines</t>
  </si>
  <si>
    <t>Eastern Point Beach</t>
  </si>
  <si>
    <t>public beach (residents only)</t>
  </si>
  <si>
    <t>2 groins; bulkhead / seawall on west side (~315'); recreational facilities</t>
  </si>
  <si>
    <t>Ocean Beach Park</t>
  </si>
  <si>
    <t>Town of New London</t>
  </si>
  <si>
    <t>jetty at Alewife Cove inlet at south end; recreational facilities; boardwalk</t>
  </si>
  <si>
    <t>Waterford Beach Park</t>
  </si>
  <si>
    <t>Town of Waterford</t>
  </si>
  <si>
    <t>Harkness Memorial State Park</t>
  </si>
  <si>
    <t>2 groins near Goshen Cove inlet</t>
  </si>
  <si>
    <t>Jordan Cove Water Access</t>
  </si>
  <si>
    <t>public access site</t>
  </si>
  <si>
    <t>McCook Point Park</t>
  </si>
  <si>
    <t>Town of East Lyme</t>
  </si>
  <si>
    <t>1 groin; railroad tracks adjacent to 2 pocket beaches; revetment with no beach between the 2 pocket beaches; bulkhead/seawall at parking lot on southern end</t>
  </si>
  <si>
    <t>Pattagansett Marshes</t>
  </si>
  <si>
    <t>2 revetments, one with ~230' without sandy beach in Sept. 2011</t>
  </si>
  <si>
    <t>Rocky Neck State Park</t>
  </si>
  <si>
    <t>1 groin; railroad tracks adjacent to beach; 2 revetments at Bride Brook; bulkhead/seawall at east end by Giants Neck Road</t>
  </si>
  <si>
    <t>Hatchetts Point</t>
  </si>
  <si>
    <t>Griswold Point</t>
  </si>
  <si>
    <t>Great Island Marshes</t>
  </si>
  <si>
    <t>beach is fringe on marsh with a lot of ditches</t>
  </si>
  <si>
    <t>Old Saybrook Town Beach</t>
  </si>
  <si>
    <t>Middlesex</t>
  </si>
  <si>
    <t>Town of Old Saybrook</t>
  </si>
  <si>
    <t>public beach (~ 200 ft long)</t>
  </si>
  <si>
    <t>public beach (~250 ft long)</t>
  </si>
  <si>
    <t>Harvey's Beach</t>
  </si>
  <si>
    <t>2 groins; no sandy beach to southeast or northwest</t>
  </si>
  <si>
    <t>Westbrook Town Beach</t>
  </si>
  <si>
    <t>Town of Westbrook</t>
  </si>
  <si>
    <t>10 groins; bulkhead/seawall fronting large parking lot at southwest end; bulkhead/seawall along Seaside Ave at northeast side</t>
  </si>
  <si>
    <t>Menunketesuck Island</t>
  </si>
  <si>
    <t>2 breakwaters</t>
  </si>
  <si>
    <t>Duck Island Wildlife Area</t>
  </si>
  <si>
    <t>Clinton Town Beach</t>
  </si>
  <si>
    <t>Town of Clinton</t>
  </si>
  <si>
    <t>3 groins; large parking lot adjacent to beach at north end</t>
  </si>
  <si>
    <t>Middlesex &amp; New Haven</t>
  </si>
  <si>
    <t>Hammonasset Natural Area Preserve (State Park)</t>
  </si>
  <si>
    <t>Town of Madison</t>
  </si>
  <si>
    <t>2 groins, parking lot adjacent to beach</t>
  </si>
  <si>
    <t>New Haven</t>
  </si>
  <si>
    <t>East Wharf Beach</t>
  </si>
  <si>
    <t>West Wharf Beach</t>
  </si>
  <si>
    <t>revetment at east end (~120'); bulkhead/seawall at west end (~700'); recreational facilities</t>
  </si>
  <si>
    <t>Grass Island</t>
  </si>
  <si>
    <t>Town of Guilford</t>
  </si>
  <si>
    <t>open space, public beach</t>
  </si>
  <si>
    <t>East Haven Town Beach</t>
  </si>
  <si>
    <t>Town of East Haven</t>
  </si>
  <si>
    <t>3 groins; recreational facilities</t>
  </si>
  <si>
    <t>Lighthouse Point Park</t>
  </si>
  <si>
    <t>2 groins; recreational facilities</t>
  </si>
  <si>
    <t>Fort Hale Park</t>
  </si>
  <si>
    <t>revetment at Black Rock Fishing Pier and parking lot; southeastern beaches are cobble</t>
  </si>
  <si>
    <t>1 groin at south end; 6 revetments</t>
  </si>
  <si>
    <t>East Shore Park</t>
  </si>
  <si>
    <t>Long Wharf Park</t>
  </si>
  <si>
    <t>2 revetments; Long Wharf Drive and I-95 directly adjacent to beach</t>
  </si>
  <si>
    <t>Sandy Point Bird Sanctuary</t>
  </si>
  <si>
    <t>City of West Haven</t>
  </si>
  <si>
    <t>1 breakwater; possible old railroad trestles on north side crossing both Old Field Creek outlets</t>
  </si>
  <si>
    <t>City of New Haven</t>
  </si>
  <si>
    <t>1 revetment; 9 groins; recreational facilities</t>
  </si>
  <si>
    <t>Bradley Point Park</t>
  </si>
  <si>
    <t>2 pockets separated by Bradley Point rock outcrop; revetment at northeast end of eastern pocket; revetment along western pocket; groin at Cove River inlet at southwest end</t>
  </si>
  <si>
    <t>Silver Sands State Park</t>
  </si>
  <si>
    <t>Town of Milford</t>
  </si>
  <si>
    <t>Walnut Beach</t>
  </si>
  <si>
    <t>1 groin; boardwalk; pier</t>
  </si>
  <si>
    <t>anchor point for Housatonic breakwater</t>
  </si>
  <si>
    <t>Short Beach Park</t>
  </si>
  <si>
    <t>Fairfield</t>
  </si>
  <si>
    <t>Town of Stratford</t>
  </si>
  <si>
    <t>1 groin at south end; recreational facilities; parking lots adjacent to beach</t>
  </si>
  <si>
    <t>Lordship Point Water Access</t>
  </si>
  <si>
    <t>revetment with no beach at Stratford Point; sand fencing; private development adjacent to beach at northwest end by Short Beach Park</t>
  </si>
  <si>
    <t>Long Beach Park</t>
  </si>
  <si>
    <t>7 groins</t>
  </si>
  <si>
    <t>Pleasure Beach Park</t>
  </si>
  <si>
    <t>Town of Bridgeport</t>
  </si>
  <si>
    <t>anchor point for Bridgeport breakwater; abandoned (c. 2012) recreational facilities</t>
  </si>
  <si>
    <t>Seaside Park</t>
  </si>
  <si>
    <t>revetment or bulkhead/seawall along 100% of park length; park beaches in 5 separate pockets; dike/revetment to Fayerweather Island at southwest end; recreational facilities and parking lots</t>
  </si>
  <si>
    <t>St. Mary's by-the-Sea</t>
  </si>
  <si>
    <t>revetment/bulkhead along entire shoreline with no beach except for sandy spit at Ash Creek inlet; 1 groin</t>
  </si>
  <si>
    <t>Jennings Beach</t>
  </si>
  <si>
    <t>Town of Fairfield</t>
  </si>
  <si>
    <t>jetty at Ash Creek inlet; sand fencing; large parking lots; recreational facilities including boat storage on beach</t>
  </si>
  <si>
    <t>Penfield Beach</t>
  </si>
  <si>
    <t>large Penfield Pavilion directly adjacent to beach; sand fencing</t>
  </si>
  <si>
    <t>Sasco Beach</t>
  </si>
  <si>
    <t>1 groin; parking lot adjacent to beach; bulkhead/seawall on adjacent private property to southeast</t>
  </si>
  <si>
    <t>Burying Hill Beach &amp; Wetlands</t>
  </si>
  <si>
    <t>jetty at Green Farms Brook inlet; bulkhead/seawall along parking area; revetment along most of beach</t>
  </si>
  <si>
    <t>Sherwood Island State Park</t>
  </si>
  <si>
    <t>jetty at Green Farms Brook inlet; revetment at Sherwood Point with no beach; groin at northwest boundary; sand fencing; recreational facilities</t>
  </si>
  <si>
    <t>Compo Beach &amp; Marina</t>
  </si>
  <si>
    <t>7 groins; 4 revetments, bulkheads or seawalls; boat ramp; recreational facilities and very large parking lots adjacent to beach; marina</t>
  </si>
  <si>
    <t>Cockenoe Island</t>
  </si>
  <si>
    <t>Goose Island</t>
  </si>
  <si>
    <t>Saugatuck Valley Audubon Society</t>
  </si>
  <si>
    <t>most of island's shoreline is rocky beach</t>
  </si>
  <si>
    <t>Westport Longshore Club Park</t>
  </si>
  <si>
    <t>bulkhead/seawall; recreational facilities</t>
  </si>
  <si>
    <t>Shady Beach</t>
  </si>
  <si>
    <t>Calf Pasture Park</t>
  </si>
  <si>
    <t>City of Norwalk</t>
  </si>
  <si>
    <t>groins at both north and south boundaries</t>
  </si>
  <si>
    <t>5 groins; 1 bulkhead/seawall; recreational facilities; large parking lots; pier</t>
  </si>
  <si>
    <t>bulkhead/seawall - revetment on north end</t>
  </si>
  <si>
    <t>Grassy Island</t>
  </si>
  <si>
    <t>sections of beach may be gravelly</t>
  </si>
  <si>
    <t>2 groins; 1 revetment (~160'); some areas of beach may be rocky with gravel or boulders</t>
  </si>
  <si>
    <t>some areas of beach may be rocky with gravel or boulders</t>
  </si>
  <si>
    <t>The Plains (island)</t>
  </si>
  <si>
    <t>Shea (Ram) Island</t>
  </si>
  <si>
    <t>Pear Tree Point Beach Park</t>
  </si>
  <si>
    <t>City of Darien</t>
  </si>
  <si>
    <t>4 groins</t>
  </si>
  <si>
    <t>Weed Beach</t>
  </si>
  <si>
    <t>2 groins; 1 revetment (~105'); recreational facilities</t>
  </si>
  <si>
    <t>Cummings Park</t>
  </si>
  <si>
    <t>2 groins; jetty and revetment at Halloween Basin inlet; ORV or beach raking; recreational facilities; large parking lots adjacent to beach</t>
  </si>
  <si>
    <t>Town of Stamford</t>
  </si>
  <si>
    <t>terminal groin at Halloween Basin inlet; large parking lot adjacent to beach; revetment on adjacent private property to south</t>
  </si>
  <si>
    <t>Greenwich Point Park (Tod's Point)</t>
  </si>
  <si>
    <t>Town of Greenwich</t>
  </si>
  <si>
    <t>fragmented into 4 separate pocket beaches; 7 revetments with several sections with no sandy beaches in March 2012; 2 groins; recreational facilities; parking lots; boat ramp and storage yard</t>
  </si>
  <si>
    <t>Pelican Island</t>
  </si>
  <si>
    <t>Greenwich Island islet</t>
  </si>
  <si>
    <t>Peach Island Unit, Stewart B. McKinney NWR</t>
  </si>
  <si>
    <t>Chimon Island Unit, Stewart B. McKinney NWR</t>
  </si>
  <si>
    <t>Sheffield Island Unit, Stewart B. McKinney NWR</t>
  </si>
  <si>
    <t>Milford Point Unit, Stewart B. McKinney NWR</t>
  </si>
  <si>
    <t>Calf Island Unit, Stewart B. McKinney NWR</t>
  </si>
  <si>
    <t>Smith-Hubbell Wildlife Refuge and Bird Sanctuary</t>
  </si>
  <si>
    <t>Connecticut Audubon Society</t>
  </si>
  <si>
    <t>1 bulkhead/seawall (~750') at northwest end; bulkheads/seawalls (~1100') at south end near lighthouse on a few private inholdings; some areas of beach may be rocky with gravel or boulders</t>
  </si>
  <si>
    <t>Percent of State's Beach Length</t>
  </si>
  <si>
    <t>Percent of County's Beach Length</t>
  </si>
  <si>
    <t>County Total Beach Length (miles)</t>
  </si>
  <si>
    <t>State Total Beach Length (miles)</t>
  </si>
  <si>
    <t>State Total Conservation Lands</t>
  </si>
  <si>
    <t>2 groins, bulkhead/seawall along entire length of beach, beach fill, large parking lot, recreational facility building</t>
  </si>
  <si>
    <t>federal beach fill / dredge disposal project from Haverhill Street north 6,450 ft; seawall / revetment and Ocean Blvd. immediately backing most of beach; 1 groin; jetty at south end at Hampton River Inlet; total park shoreline ~1.72 miles but 0.24 miles had no beach in front of seawall/ revetment at north end in Nov. 2011; parking lot along northern two-thirds directly adjacent to seawall / revetment; private development directly adjacent to beach along 0.20 miles near south end where beach may not be part of park; recreational facilities; wide dune field at South Beach immediately north of jetty</t>
  </si>
  <si>
    <t>4 inlet channel training walls; 2 groins; 2 revetments; beach fill in 1960; boardwalk; ORV</t>
  </si>
  <si>
    <t>Sagadahoc</t>
  </si>
  <si>
    <t>Approximate Length of Sandy Beach in Conservation (miles)</t>
  </si>
  <si>
    <t>Governor Island State Park</t>
  </si>
  <si>
    <t>1 groin; 1 jetty at Toms Creek; beach fill along 10,000 ft in 1955; recreational facilities; 2 inholdings in Clinton on Cedar Island spit; 3 inlets artificially closed</t>
  </si>
  <si>
    <t>large parking lots, recreational facilities; barrier spit was historically full of houses, with 94 present in 2004 but after the preserve was created only 6 buildings remained by 2007; a parking lot was also removed; 5 groins at the south end of the spit</t>
  </si>
  <si>
    <t>Lloyd Neck East Beach</t>
  </si>
  <si>
    <t>Tern Island Easement</t>
  </si>
  <si>
    <t>Beach Plum Hill / Logwood Cove</t>
  </si>
  <si>
    <t>Sandy Point Island</t>
  </si>
  <si>
    <t>Town of Aquinnah or Wampanoag Tribe of Gay Head (Aquinnah)</t>
  </si>
  <si>
    <t>Sheriff's Meadow Foundation, Town of Edgartown</t>
  </si>
  <si>
    <t>Sheriff's Meadow Foundation</t>
  </si>
  <si>
    <t>large parking lots, beach raking, sand fencing; Oyster Bay NWR owns the intertidal portion of the beach as part of its Frost Creek Unit</t>
  </si>
  <si>
    <t>public beach; NWR</t>
  </si>
  <si>
    <t>Town of Oyster Bay, USFWS</t>
  </si>
  <si>
    <t>Misquamicut Fire District</t>
  </si>
  <si>
    <t>beach fill; sand fencing; large parking lot and recreation facility directly adjacent to beach</t>
  </si>
  <si>
    <t>beach fill; cabanas on the beach; groin and seawall on private development adjacent to southeast</t>
  </si>
  <si>
    <t>Misquamicut Beach parcels</t>
  </si>
  <si>
    <t>beach fill, sand fencing, dune construction and maintenace, parking lots; 6+ parcels, some contiguous and others not</t>
  </si>
  <si>
    <t>Old Orchard Beach</t>
  </si>
  <si>
    <t>Town of Old Orchard Beach</t>
  </si>
  <si>
    <t>Peter Slovinsky, MGS, pers. communication, May 15, 2015</t>
  </si>
  <si>
    <t>Great Island (Yarmouth)</t>
  </si>
  <si>
    <t>24 privately owned groins; 3 revetments; Trustees of Reservations has conservation restrictions on 266 acres - assumed the undeveloped beach along Great Island Road is part of this as no maps of the conservation easement was located</t>
  </si>
  <si>
    <t>Bluff Point State Park &amp; Coastal Reserve</t>
  </si>
  <si>
    <t>USFWS (2002b)</t>
  </si>
  <si>
    <t>USFWS (2002c)</t>
  </si>
  <si>
    <t>USFWS (2002d)</t>
  </si>
  <si>
    <t>unknown Suffolk County parcel along Navy Road in Montauk</t>
  </si>
  <si>
    <t>unknown public beach or park immediately south of Culloden Point along Fort Pond Bay</t>
  </si>
  <si>
    <t>park or public beach</t>
  </si>
  <si>
    <t>Fort Pond Bay Park / Eddie Ecker Park / Benson Point</t>
  </si>
  <si>
    <t>Town Beach at Navy Road</t>
  </si>
  <si>
    <t>Barnes Landing</t>
  </si>
  <si>
    <t>passive park or public beach</t>
  </si>
  <si>
    <t>unknown</t>
  </si>
  <si>
    <t>Gerard Point</t>
  </si>
  <si>
    <t>Gerard Park</t>
  </si>
  <si>
    <t>unknown protected parcel along Gerard Drive north of historic inlet or sluice site in Springs</t>
  </si>
  <si>
    <t>unknown public beach or park at end of Bayview Court in North Haven</t>
  </si>
  <si>
    <t>Shinnecock Indian Nation lands along Peconic Bay in Hampton Bays</t>
  </si>
  <si>
    <t>unknown public beach or park on east side of Red Creek Pond Inlet</t>
  </si>
  <si>
    <t>unknown protected parcel at Fantasy Drive and Longneck Blvd in Flanders</t>
  </si>
  <si>
    <t>unknown protected parcel in Flanders at mouth of Peconic River at Iron Point</t>
  </si>
  <si>
    <t>Meadow Beach parcels on Horseshoe Cove peninsula in Cutchogue</t>
  </si>
  <si>
    <t>unknown public beach or park on east side of Stirling Basin inlet at end of Beach St. in Greenport</t>
  </si>
  <si>
    <t>unknown Suffolk County parcel south of Dressel Preserve, Shelter Island</t>
  </si>
  <si>
    <t>unknown protected parcel east of end of Sea Gull Road near inlet, Shelter Island</t>
  </si>
  <si>
    <t xml:space="preserve">                                   </t>
  </si>
  <si>
    <t>public beach (1.89 mi)</t>
  </si>
  <si>
    <t>Quincy Shore Reservation (Wollaston Beach)</t>
  </si>
  <si>
    <t>seawall/bulkhead along nearly entire beach; 3 groins; beach fill; private property directly adjacent to most of beach</t>
  </si>
  <si>
    <t>seawall/bulkhead along entire length; 7 groins; private property directly adjacent to beach</t>
  </si>
  <si>
    <t>public beach (0.29 mi)</t>
  </si>
  <si>
    <t>3 seawalls/bulkheads line most of beach length; private property directly adjacent to beach</t>
  </si>
  <si>
    <t>City of Quincy</t>
  </si>
  <si>
    <t>Perry (Parkhurst) Beach</t>
  </si>
  <si>
    <t>Front (Heron) Beach</t>
  </si>
  <si>
    <t>Edgewater Beach</t>
  </si>
  <si>
    <t>public beach (0.59 mi)</t>
  </si>
  <si>
    <t>seawall/bulkhead along entire length; 4 groins; private property directly adjacent to beach</t>
  </si>
  <si>
    <t>City of Weymouth</t>
  </si>
  <si>
    <t>Wessagusett Beach</t>
  </si>
  <si>
    <t>George Lane Beach</t>
  </si>
  <si>
    <t>seawall/bulkhead along entire length; 3 groins; private property directly adjacent to beach</t>
  </si>
  <si>
    <t>seawalls/bulkheads along most of beach length; 2 groins; private property directly adjacent to beach</t>
  </si>
  <si>
    <t xml:space="preserve">sand fencing </t>
  </si>
  <si>
    <t>Southeast Land Trust of NH ?</t>
  </si>
  <si>
    <t>public beach, nature preserve?</t>
  </si>
  <si>
    <t>jetty at Menemsha Creek kinlet at northeast end; private property adjacent to some portions of beach; NOTE THAT MORIS DATA LAYER FOR PUBLIC BEACHES LISTS LOBSTERVILLE BEACH AS 3.03 MILES LONG, BUT DUKES COUNTY TAX PARCEL MAPS DO NOT AGREE AND HAVE LENGTHS LISTED HERE</t>
  </si>
  <si>
    <t>MA CZM (2015a, 2015b)</t>
  </si>
  <si>
    <t>Dukes County (2015a), MA CZM (2015a, 2015b)</t>
  </si>
  <si>
    <t>USFWS (2013), MA CZM (2015a, 2015b), Nantucket County (2015), NCF (2015)</t>
  </si>
  <si>
    <t>MA CZM (2015a, 2015b), Nantucket County (2015), NCF (2015)</t>
  </si>
  <si>
    <t>RI GIS (2015)</t>
  </si>
  <si>
    <t>CT ECO (2015)</t>
  </si>
  <si>
    <t>Visel (2009), CT ECO (2015)</t>
  </si>
  <si>
    <t>NOTES:</t>
  </si>
  <si>
    <t>The Connecticut Critical Habitat and Open Space Interactive Mapper was also consulted, at www.cteco.maps.arcgis.com</t>
  </si>
  <si>
    <t>The Connecticut Coastal Access Guide was also consulted, at www.lisrc.uconn.edu/coastalaccess/</t>
  </si>
  <si>
    <t>the primary purpose of each parcel was taken from the conservation lands data layers cited in the sources column</t>
  </si>
  <si>
    <t>The NY Department of Environmental Conservation (NY DEC) Lands data layer from the NY GIS Clearinghouse was also consulted, at http://gis.ny.gov/gisdata/index.cfm</t>
  </si>
  <si>
    <t>The Nassau County Land Records Viewer is available at http://lrv.nassaucountyny.gov/map/?s=30&amp;b=++B&amp;l=1090</t>
  </si>
  <si>
    <t>The Suffolk County GIS Viewer is available at http://gis2.suffolkcountyny.gov/GISViewer/</t>
  </si>
  <si>
    <t>The Peconic Land Trust Conservation Map is available at http://www.peconiclandtrust.org/mapsalive.html)</t>
  </si>
  <si>
    <t>see online sources listed in the notes below</t>
  </si>
  <si>
    <t>Town of Southold (2012)</t>
  </si>
  <si>
    <t>NY OPRHP (2010)</t>
  </si>
  <si>
    <t>ONLY PUBLIC &amp; NGO LANDS WITH SANDY BEACHES ARE INCLUDED HERE - NUMEROUS OTHER PUBLIC / NGO LANDS WITHOUT SANDY BEACHES OF AT LEAST 500 FT EXIST BUT ARE NOT INCLUDED HERE</t>
  </si>
  <si>
    <t>parcels in shaded rows are beaches that are in public or NGO ownership but the property immediately adjacent to the beach is privately owned and in most cases developed</t>
  </si>
  <si>
    <t>Peconic Land Trust Conservation Map</t>
  </si>
  <si>
    <t>see online sources listed in Notes below</t>
  </si>
  <si>
    <t>Suffolk County GIS Parcel Viewer</t>
  </si>
  <si>
    <t>Other references are listed in the accompanying reports Rice (2015a) - "Inventory of Habitat Modifications to Tidal Inlets in the U.S. Atlantic Coast Breeding Range of the Piping Plover (Charadrius melodus) prior to Hurricane Sandy:  Maine to the North Shore of Long Island" and Rice (2015b) "Inventory of Habitat Modifications to Sandy Beaches in the U.S. Atlantic Coast Breeding Range of the Piping Plover (Charadrius melodus) prior to Hurricane Sandy:  Maine to the North Shore and Peconic Estuary of New York"</t>
  </si>
  <si>
    <t>unknown passive park or protected parcel on west shore of Northwest Harbor Inlet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</si>
</sst>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name val="Arial"/>
      <family val="2"/>
    </font>
    <font>
      <b/>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5">
    <xf numFmtId="0" fontId="0" fillId="0" borderId="0"/>
    <xf numFmtId="0" fontId="4" fillId="0" borderId="0"/>
    <xf numFmtId="0" fontId="4" fillId="0" borderId="0"/>
    <xf numFmtId="9" fontId="4" fillId="0" borderId="0" applyFont="0" applyFill="0" applyBorder="0" applyAlignment="0" applyProtection="0"/>
    <xf numFmtId="9" fontId="6" fillId="0" borderId="0" applyFont="0" applyFill="0" applyBorder="0" applyAlignment="0" applyProtection="0"/>
  </cellStyleXfs>
  <cellXfs count="50">
    <xf numFmtId="0" fontId="0" fillId="0" borderId="0" xfId="0"/>
    <xf numFmtId="0" fontId="2" fillId="0" borderId="0" xfId="0" applyFont="1" applyAlignment="1">
      <alignment horizontal="center"/>
    </xf>
    <xf numFmtId="0" fontId="2"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xf>
    <xf numFmtId="0" fontId="3" fillId="0" borderId="0" xfId="0" applyFont="1"/>
    <xf numFmtId="0" fontId="1" fillId="0" borderId="0" xfId="0" applyFont="1"/>
    <xf numFmtId="0" fontId="0" fillId="0" borderId="0" xfId="0" applyFont="1" applyFill="1" applyAlignment="1">
      <alignment horizontal="left"/>
    </xf>
    <xf numFmtId="0" fontId="3" fillId="0" borderId="0" xfId="1" applyFont="1" applyFill="1"/>
    <xf numFmtId="0" fontId="0" fillId="0" borderId="0" xfId="0" applyFont="1"/>
    <xf numFmtId="0" fontId="3" fillId="0" borderId="0" xfId="2" applyFont="1" applyFill="1"/>
    <xf numFmtId="0" fontId="0" fillId="0" borderId="0" xfId="0" applyFont="1" applyFill="1"/>
    <xf numFmtId="0" fontId="1" fillId="0" borderId="0" xfId="0" applyFont="1" applyFill="1"/>
    <xf numFmtId="0" fontId="3" fillId="0" borderId="0" xfId="0" applyFont="1" applyFill="1" applyAlignment="1">
      <alignment horizontal="left"/>
    </xf>
    <xf numFmtId="0" fontId="3" fillId="0" borderId="0" xfId="0" applyFont="1" applyFill="1"/>
    <xf numFmtId="2" fontId="0" fillId="0" borderId="0" xfId="0" applyNumberFormat="1" applyFont="1" applyAlignment="1">
      <alignment horizontal="center"/>
    </xf>
    <xf numFmtId="2" fontId="3" fillId="0" borderId="0" xfId="0" applyNumberFormat="1" applyFont="1" applyAlignment="1">
      <alignment horizontal="center"/>
    </xf>
    <xf numFmtId="0" fontId="3" fillId="0" borderId="0" xfId="0" applyFont="1" applyAlignment="1">
      <alignment horizontal="left"/>
    </xf>
    <xf numFmtId="2" fontId="2" fillId="0" borderId="0" xfId="0" applyNumberFormat="1" applyFont="1" applyAlignment="1">
      <alignment horizontal="center"/>
    </xf>
    <xf numFmtId="2" fontId="0" fillId="0" borderId="0" xfId="0" applyNumberFormat="1" applyFont="1" applyFill="1" applyAlignment="1">
      <alignment horizontal="center"/>
    </xf>
    <xf numFmtId="0" fontId="0" fillId="2" borderId="0" xfId="0" applyFont="1" applyFill="1" applyAlignment="1">
      <alignment horizontal="left"/>
    </xf>
    <xf numFmtId="0" fontId="0" fillId="2" borderId="0" xfId="0" applyFont="1" applyFill="1"/>
    <xf numFmtId="2" fontId="0" fillId="2" borderId="0" xfId="0" applyNumberFormat="1" applyFont="1" applyFill="1" applyAlignment="1">
      <alignment horizontal="center"/>
    </xf>
    <xf numFmtId="0" fontId="3" fillId="2" borderId="0" xfId="0" applyFont="1" applyFill="1"/>
    <xf numFmtId="0" fontId="0" fillId="2" borderId="0" xfId="0" applyFont="1" applyFill="1" applyAlignment="1">
      <alignment horizontal="center"/>
    </xf>
    <xf numFmtId="0" fontId="3" fillId="2" borderId="0" xfId="2" applyFont="1" applyFill="1"/>
    <xf numFmtId="2" fontId="5" fillId="0" borderId="0" xfId="0" applyNumberFormat="1" applyFont="1" applyAlignment="1">
      <alignment horizontal="center"/>
    </xf>
    <xf numFmtId="0" fontId="5" fillId="0" borderId="0" xfId="0" applyFont="1" applyAlignment="1">
      <alignment horizontal="right"/>
    </xf>
    <xf numFmtId="9" fontId="0" fillId="0" borderId="0" xfId="4" applyFont="1" applyAlignment="1">
      <alignment horizontal="left"/>
    </xf>
    <xf numFmtId="0" fontId="2" fillId="0" borderId="0" xfId="0" applyFont="1" applyAlignment="1">
      <alignment horizontal="right"/>
    </xf>
    <xf numFmtId="0" fontId="0" fillId="0" borderId="0" xfId="0" applyFont="1" applyFill="1" applyAlignment="1">
      <alignment horizontal="center"/>
    </xf>
    <xf numFmtId="2" fontId="0" fillId="0" borderId="0" xfId="0" applyNumberFormat="1" applyAlignment="1">
      <alignment horizontal="center"/>
    </xf>
    <xf numFmtId="0" fontId="0" fillId="0" borderId="0" xfId="0" applyFill="1"/>
    <xf numFmtId="0" fontId="3" fillId="2" borderId="0" xfId="0" applyFont="1" applyFill="1" applyAlignment="1">
      <alignment horizontal="left"/>
    </xf>
    <xf numFmtId="0" fontId="0" fillId="0" borderId="0" xfId="0" applyAlignment="1">
      <alignment horizontal="center"/>
    </xf>
    <xf numFmtId="2" fontId="0" fillId="0" borderId="0" xfId="0" applyNumberFormat="1"/>
    <xf numFmtId="9" fontId="0" fillId="0" borderId="0" xfId="4" applyFont="1" applyAlignment="1">
      <alignment horizontal="center"/>
    </xf>
    <xf numFmtId="9" fontId="0" fillId="0" borderId="0" xfId="4" applyFont="1"/>
    <xf numFmtId="0" fontId="0" fillId="0" borderId="0" xfId="0" applyAlignment="1">
      <alignment horizontal="left"/>
    </xf>
    <xf numFmtId="2" fontId="0" fillId="0" borderId="0" xfId="0" applyNumberFormat="1" applyAlignment="1">
      <alignment horizontal="left"/>
    </xf>
    <xf numFmtId="0" fontId="0" fillId="0" borderId="0" xfId="0" applyFill="1" applyAlignment="1">
      <alignment horizontal="center"/>
    </xf>
    <xf numFmtId="0" fontId="5" fillId="0" borderId="0" xfId="0" applyFont="1" applyFill="1"/>
    <xf numFmtId="0" fontId="2" fillId="0" borderId="0" xfId="0" applyFont="1" applyAlignment="1">
      <alignment horizontal="left"/>
    </xf>
    <xf numFmtId="0" fontId="2" fillId="0" borderId="0" xfId="0" applyFont="1"/>
    <xf numFmtId="0" fontId="2" fillId="0" borderId="0" xfId="0" applyFont="1" applyFill="1" applyAlignment="1">
      <alignment horizontal="center" wrapText="1"/>
    </xf>
    <xf numFmtId="2" fontId="0" fillId="0" borderId="0" xfId="0" applyNumberFormat="1" applyFill="1" applyAlignment="1">
      <alignment horizontal="center"/>
    </xf>
    <xf numFmtId="2" fontId="0" fillId="0" borderId="0" xfId="0" applyNumberFormat="1" applyFill="1" applyAlignment="1">
      <alignment horizontal="center" vertical="center"/>
    </xf>
    <xf numFmtId="9" fontId="0" fillId="0" borderId="0" xfId="4" applyFont="1" applyFill="1" applyAlignment="1">
      <alignment horizontal="center"/>
    </xf>
    <xf numFmtId="9" fontId="0" fillId="0" borderId="0" xfId="4" applyFont="1" applyFill="1" applyAlignment="1">
      <alignment horizontal="center" vertical="center"/>
    </xf>
    <xf numFmtId="9" fontId="2" fillId="0" borderId="0" xfId="4" applyFont="1" applyAlignment="1">
      <alignment horizontal="center"/>
    </xf>
  </cellXfs>
  <cellStyles count="5">
    <cellStyle name="Normal" xfId="0" builtinId="0"/>
    <cellStyle name="Normal 2" xfId="2"/>
    <cellStyle name="Normal 3" xfId="1"/>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pane ySplit="1" topLeftCell="A2" activePane="bottomLeft" state="frozen"/>
      <selection pane="bottomLeft"/>
    </sheetView>
  </sheetViews>
  <sheetFormatPr defaultRowHeight="15" x14ac:dyDescent="0.25"/>
  <cols>
    <col min="1" max="1" width="12.42578125" style="9" customWidth="1"/>
    <col min="2" max="2" width="38" style="9" customWidth="1"/>
    <col min="3" max="3" width="14" style="9" customWidth="1"/>
    <col min="4" max="4" width="39.140625" style="9" customWidth="1"/>
    <col min="5" max="5" width="15.7109375" style="4" customWidth="1"/>
    <col min="6" max="6" width="49" style="9" customWidth="1"/>
    <col min="7" max="7" width="36.140625" style="9" customWidth="1"/>
    <col min="8" max="8" width="30.85546875" style="9" customWidth="1"/>
    <col min="9" max="16384" width="9.140625" style="9"/>
  </cols>
  <sheetData>
    <row r="1" spans="1:8" s="1" customFormat="1" ht="45" x14ac:dyDescent="0.25">
      <c r="A1" s="1" t="s">
        <v>0</v>
      </c>
      <c r="B1" s="1" t="s">
        <v>1</v>
      </c>
      <c r="C1" s="1" t="s">
        <v>2</v>
      </c>
      <c r="D1" s="1" t="s">
        <v>3</v>
      </c>
      <c r="E1" s="2" t="s">
        <v>71</v>
      </c>
      <c r="F1" s="1" t="s">
        <v>4</v>
      </c>
      <c r="G1" s="1" t="s">
        <v>5</v>
      </c>
      <c r="H1" s="1" t="s">
        <v>6</v>
      </c>
    </row>
    <row r="2" spans="1:8" s="3" customFormat="1" x14ac:dyDescent="0.25">
      <c r="A2" s="3" t="s">
        <v>7</v>
      </c>
      <c r="B2" s="9" t="s">
        <v>24</v>
      </c>
      <c r="C2" s="9" t="s">
        <v>1520</v>
      </c>
      <c r="D2" s="9" t="s">
        <v>67</v>
      </c>
      <c r="E2" s="15">
        <f>(3413+1936)/5280</f>
        <v>1.0130681818181819</v>
      </c>
      <c r="F2" s="3" t="s">
        <v>12</v>
      </c>
      <c r="H2" s="3" t="s">
        <v>257</v>
      </c>
    </row>
    <row r="3" spans="1:8" x14ac:dyDescent="0.25">
      <c r="A3" s="3" t="s">
        <v>7</v>
      </c>
      <c r="B3" s="9" t="s">
        <v>23</v>
      </c>
      <c r="C3" s="9" t="s">
        <v>1520</v>
      </c>
      <c r="D3" s="9" t="s">
        <v>67</v>
      </c>
      <c r="E3" s="15">
        <f>(3117+3454)/5280</f>
        <v>1.2445075757575759</v>
      </c>
      <c r="F3" s="9" t="s">
        <v>12</v>
      </c>
      <c r="G3" s="9" t="s">
        <v>252</v>
      </c>
      <c r="H3" s="11" t="s">
        <v>258</v>
      </c>
    </row>
    <row r="4" spans="1:8" x14ac:dyDescent="0.25">
      <c r="A4" s="3" t="s">
        <v>7</v>
      </c>
      <c r="B4" s="9" t="s">
        <v>25</v>
      </c>
      <c r="C4" s="9" t="s">
        <v>1520</v>
      </c>
      <c r="D4" s="9" t="s">
        <v>27</v>
      </c>
      <c r="E4" s="15">
        <f>(2237+5539)/5280</f>
        <v>1.4727272727272727</v>
      </c>
      <c r="F4" s="9" t="s">
        <v>75</v>
      </c>
      <c r="H4" s="9" t="s">
        <v>259</v>
      </c>
    </row>
    <row r="5" spans="1:8" x14ac:dyDescent="0.25">
      <c r="A5" s="3" t="s">
        <v>7</v>
      </c>
      <c r="B5" s="9" t="s">
        <v>261</v>
      </c>
      <c r="C5" s="9" t="s">
        <v>1520</v>
      </c>
      <c r="D5" s="9" t="s">
        <v>262</v>
      </c>
      <c r="E5" s="15">
        <f>500/5280</f>
        <v>9.4696969696969696E-2</v>
      </c>
      <c r="F5" s="9" t="s">
        <v>244</v>
      </c>
      <c r="H5" s="3" t="s">
        <v>257</v>
      </c>
    </row>
    <row r="6" spans="1:8" x14ac:dyDescent="0.25">
      <c r="A6" s="3" t="s">
        <v>7</v>
      </c>
      <c r="B6" s="9" t="s">
        <v>263</v>
      </c>
      <c r="C6" s="9" t="s">
        <v>28</v>
      </c>
      <c r="D6" s="9" t="s">
        <v>68</v>
      </c>
      <c r="E6" s="15">
        <f>982/5280</f>
        <v>0.18598484848484848</v>
      </c>
      <c r="F6" s="9" t="s">
        <v>74</v>
      </c>
      <c r="H6" s="3" t="s">
        <v>257</v>
      </c>
    </row>
    <row r="7" spans="1:8" x14ac:dyDescent="0.25">
      <c r="A7" s="3" t="s">
        <v>7</v>
      </c>
      <c r="B7" s="9" t="s">
        <v>265</v>
      </c>
      <c r="C7" s="9" t="s">
        <v>28</v>
      </c>
      <c r="D7" s="9" t="s">
        <v>264</v>
      </c>
      <c r="E7" s="15">
        <f>1260/5280</f>
        <v>0.23863636363636365</v>
      </c>
      <c r="F7" s="9" t="s">
        <v>244</v>
      </c>
      <c r="G7" s="9" t="s">
        <v>266</v>
      </c>
      <c r="H7" s="3" t="s">
        <v>257</v>
      </c>
    </row>
    <row r="8" spans="1:8" x14ac:dyDescent="0.25">
      <c r="A8" s="3" t="s">
        <v>7</v>
      </c>
      <c r="B8" s="9" t="s">
        <v>267</v>
      </c>
      <c r="C8" s="9" t="s">
        <v>28</v>
      </c>
      <c r="D8" s="9" t="s">
        <v>264</v>
      </c>
      <c r="E8" s="15">
        <f>587/5280</f>
        <v>0.11117424242424243</v>
      </c>
      <c r="F8" s="9" t="s">
        <v>244</v>
      </c>
      <c r="G8" s="9" t="s">
        <v>266</v>
      </c>
      <c r="H8" s="3" t="s">
        <v>257</v>
      </c>
    </row>
    <row r="9" spans="1:8" x14ac:dyDescent="0.25">
      <c r="A9" s="3" t="s">
        <v>7</v>
      </c>
      <c r="B9" s="9" t="s">
        <v>268</v>
      </c>
      <c r="C9" s="9" t="s">
        <v>28</v>
      </c>
      <c r="D9" s="9" t="s">
        <v>264</v>
      </c>
      <c r="E9" s="15">
        <f>213/5280</f>
        <v>4.0340909090909094E-2</v>
      </c>
      <c r="F9" s="9" t="s">
        <v>244</v>
      </c>
      <c r="G9" s="9" t="s">
        <v>266</v>
      </c>
      <c r="H9" s="3" t="s">
        <v>257</v>
      </c>
    </row>
    <row r="10" spans="1:8" x14ac:dyDescent="0.25">
      <c r="A10" s="3" t="s">
        <v>7</v>
      </c>
      <c r="B10" s="9" t="s">
        <v>269</v>
      </c>
      <c r="C10" s="9" t="s">
        <v>28</v>
      </c>
      <c r="D10" s="9" t="s">
        <v>264</v>
      </c>
      <c r="E10" s="15">
        <f>1241/5280</f>
        <v>0.2350378787878788</v>
      </c>
      <c r="F10" s="9" t="s">
        <v>244</v>
      </c>
      <c r="G10" s="9" t="s">
        <v>270</v>
      </c>
      <c r="H10" s="3" t="s">
        <v>257</v>
      </c>
    </row>
    <row r="11" spans="1:8" x14ac:dyDescent="0.25">
      <c r="A11" s="3" t="s">
        <v>7</v>
      </c>
      <c r="B11" s="9" t="s">
        <v>271</v>
      </c>
      <c r="C11" s="9" t="s">
        <v>28</v>
      </c>
      <c r="D11" s="9" t="s">
        <v>264</v>
      </c>
      <c r="E11" s="15">
        <f>568/5280</f>
        <v>0.10757575757575757</v>
      </c>
      <c r="F11" s="9" t="s">
        <v>75</v>
      </c>
      <c r="H11" s="3" t="s">
        <v>257</v>
      </c>
    </row>
    <row r="12" spans="1:8" x14ac:dyDescent="0.25">
      <c r="A12" s="3" t="s">
        <v>7</v>
      </c>
      <c r="B12" s="9" t="s">
        <v>253</v>
      </c>
      <c r="C12" s="9" t="s">
        <v>28</v>
      </c>
      <c r="D12" s="9" t="s">
        <v>67</v>
      </c>
      <c r="E12" s="15">
        <f>(2305+945+1942+1905)/5280</f>
        <v>1.344128787878788</v>
      </c>
      <c r="F12" s="9" t="s">
        <v>125</v>
      </c>
      <c r="H12" s="9" t="s">
        <v>257</v>
      </c>
    </row>
    <row r="13" spans="1:8" x14ac:dyDescent="0.25">
      <c r="A13" s="3" t="s">
        <v>7</v>
      </c>
      <c r="B13" s="9" t="s">
        <v>272</v>
      </c>
      <c r="C13" s="9" t="s">
        <v>28</v>
      </c>
      <c r="D13" s="9" t="s">
        <v>67</v>
      </c>
      <c r="E13" s="15">
        <f>840/5280</f>
        <v>0.15909090909090909</v>
      </c>
      <c r="F13" s="9" t="s">
        <v>125</v>
      </c>
      <c r="H13" s="9" t="s">
        <v>257</v>
      </c>
    </row>
    <row r="14" spans="1:8" s="21" customFormat="1" x14ac:dyDescent="0.25">
      <c r="A14" s="20" t="s">
        <v>7</v>
      </c>
      <c r="B14" s="21" t="s">
        <v>255</v>
      </c>
      <c r="C14" s="21" t="s">
        <v>28</v>
      </c>
      <c r="D14" s="21" t="s">
        <v>67</v>
      </c>
      <c r="E14" s="22"/>
      <c r="F14" s="21" t="s">
        <v>256</v>
      </c>
      <c r="H14" s="21" t="s">
        <v>257</v>
      </c>
    </row>
    <row r="15" spans="1:8" x14ac:dyDescent="0.25">
      <c r="A15" s="3" t="s">
        <v>7</v>
      </c>
      <c r="B15" s="11" t="s">
        <v>273</v>
      </c>
      <c r="C15" s="9" t="s">
        <v>28</v>
      </c>
      <c r="D15" s="11" t="s">
        <v>67</v>
      </c>
      <c r="E15" s="15">
        <f>(530+531)/5280</f>
        <v>0.20094696969696971</v>
      </c>
      <c r="F15" s="11" t="s">
        <v>12</v>
      </c>
      <c r="H15" s="5" t="s">
        <v>257</v>
      </c>
    </row>
    <row r="16" spans="1:8" x14ac:dyDescent="0.25">
      <c r="A16" s="3" t="s">
        <v>7</v>
      </c>
      <c r="B16" s="9" t="s">
        <v>22</v>
      </c>
      <c r="C16" s="9" t="s">
        <v>28</v>
      </c>
      <c r="D16" s="9" t="s">
        <v>67</v>
      </c>
      <c r="E16" s="15">
        <f>4382/5280</f>
        <v>0.82992424242424245</v>
      </c>
      <c r="F16" s="9" t="s">
        <v>12</v>
      </c>
      <c r="G16" s="9" t="s">
        <v>254</v>
      </c>
      <c r="H16" s="11" t="s">
        <v>260</v>
      </c>
    </row>
    <row r="17" spans="1:8" x14ac:dyDescent="0.25">
      <c r="A17" s="3" t="s">
        <v>7</v>
      </c>
      <c r="B17" s="9" t="s">
        <v>274</v>
      </c>
      <c r="C17" s="9" t="s">
        <v>28</v>
      </c>
      <c r="D17" s="9" t="s">
        <v>67</v>
      </c>
      <c r="E17" s="15">
        <f>505/5280</f>
        <v>9.5643939393939392E-2</v>
      </c>
      <c r="F17" s="9" t="s">
        <v>275</v>
      </c>
      <c r="H17" s="9" t="s">
        <v>257</v>
      </c>
    </row>
    <row r="18" spans="1:8" x14ac:dyDescent="0.25">
      <c r="A18" s="3" t="s">
        <v>7</v>
      </c>
      <c r="B18" s="9" t="s">
        <v>21</v>
      </c>
      <c r="C18" s="9" t="s">
        <v>28</v>
      </c>
      <c r="D18" s="9" t="s">
        <v>67</v>
      </c>
      <c r="E18" s="15">
        <f>2080/5280</f>
        <v>0.39393939393939392</v>
      </c>
      <c r="F18" s="9" t="s">
        <v>12</v>
      </c>
      <c r="G18" s="11" t="s">
        <v>1587</v>
      </c>
      <c r="H18" s="9" t="s">
        <v>257</v>
      </c>
    </row>
    <row r="19" spans="1:8" x14ac:dyDescent="0.25">
      <c r="A19" s="3" t="s">
        <v>7</v>
      </c>
      <c r="B19" s="9" t="s">
        <v>278</v>
      </c>
      <c r="C19" s="9" t="s">
        <v>28</v>
      </c>
      <c r="D19" s="9" t="s">
        <v>279</v>
      </c>
      <c r="E19" s="15">
        <f>2516/5280</f>
        <v>0.4765151515151515</v>
      </c>
      <c r="F19" s="9" t="s">
        <v>96</v>
      </c>
      <c r="G19" s="11" t="s">
        <v>284</v>
      </c>
      <c r="H19" s="9" t="s">
        <v>283</v>
      </c>
    </row>
    <row r="20" spans="1:8" x14ac:dyDescent="0.25">
      <c r="A20" s="3" t="s">
        <v>7</v>
      </c>
      <c r="B20" s="5" t="s">
        <v>276</v>
      </c>
      <c r="C20" s="9" t="s">
        <v>28</v>
      </c>
      <c r="D20" s="5" t="s">
        <v>67</v>
      </c>
      <c r="E20" s="15">
        <f>1837/5280</f>
        <v>0.34791666666666665</v>
      </c>
      <c r="F20" s="9" t="s">
        <v>277</v>
      </c>
      <c r="G20" s="9" t="s">
        <v>280</v>
      </c>
      <c r="H20" s="9" t="s">
        <v>257</v>
      </c>
    </row>
    <row r="21" spans="1:8" x14ac:dyDescent="0.25">
      <c r="A21" s="3" t="s">
        <v>7</v>
      </c>
      <c r="B21" s="5" t="s">
        <v>281</v>
      </c>
      <c r="C21" s="9" t="s">
        <v>28</v>
      </c>
      <c r="D21" s="5" t="s">
        <v>279</v>
      </c>
      <c r="E21" s="15">
        <f>282/5280</f>
        <v>5.3409090909090906E-2</v>
      </c>
      <c r="F21" s="9" t="s">
        <v>96</v>
      </c>
      <c r="G21" s="9" t="s">
        <v>282</v>
      </c>
      <c r="H21" s="9" t="s">
        <v>283</v>
      </c>
    </row>
    <row r="22" spans="1:8" s="21" customFormat="1" x14ac:dyDescent="0.25">
      <c r="A22" s="20" t="s">
        <v>7</v>
      </c>
      <c r="B22" s="23" t="s">
        <v>1540</v>
      </c>
      <c r="C22" s="21" t="s">
        <v>76</v>
      </c>
      <c r="D22" s="23" t="s">
        <v>1541</v>
      </c>
      <c r="E22" s="22"/>
      <c r="F22" s="21" t="s">
        <v>294</v>
      </c>
      <c r="G22" s="21" t="s">
        <v>266</v>
      </c>
      <c r="H22" s="21" t="s">
        <v>1542</v>
      </c>
    </row>
    <row r="23" spans="1:8" x14ac:dyDescent="0.25">
      <c r="A23" s="3" t="s">
        <v>7</v>
      </c>
      <c r="B23" s="5" t="s">
        <v>72</v>
      </c>
      <c r="C23" s="9" t="s">
        <v>76</v>
      </c>
      <c r="D23" s="9" t="s">
        <v>68</v>
      </c>
      <c r="E23" s="15">
        <f>(661+110)/5280</f>
        <v>0.14602272727272728</v>
      </c>
      <c r="F23" s="9" t="s">
        <v>74</v>
      </c>
      <c r="G23" s="9" t="s">
        <v>285</v>
      </c>
      <c r="H23" s="9" t="s">
        <v>257</v>
      </c>
    </row>
    <row r="24" spans="1:8" x14ac:dyDescent="0.25">
      <c r="A24" s="3" t="s">
        <v>7</v>
      </c>
      <c r="B24" s="9" t="s">
        <v>20</v>
      </c>
      <c r="C24" s="9" t="s">
        <v>76</v>
      </c>
      <c r="D24" s="9" t="s">
        <v>67</v>
      </c>
      <c r="E24" s="15">
        <f>507/5280</f>
        <v>9.6022727272727273E-2</v>
      </c>
      <c r="F24" s="9" t="s">
        <v>12</v>
      </c>
      <c r="G24" s="11" t="s">
        <v>286</v>
      </c>
      <c r="H24" s="9" t="s">
        <v>257</v>
      </c>
    </row>
    <row r="25" spans="1:8" x14ac:dyDescent="0.25">
      <c r="A25" s="3" t="s">
        <v>7</v>
      </c>
      <c r="B25" s="5" t="s">
        <v>289</v>
      </c>
      <c r="C25" s="9" t="s">
        <v>76</v>
      </c>
      <c r="D25" s="9" t="s">
        <v>292</v>
      </c>
      <c r="E25" s="15">
        <f>775/5280</f>
        <v>0.14678030303030304</v>
      </c>
      <c r="F25" s="9" t="s">
        <v>96</v>
      </c>
      <c r="G25" s="11" t="s">
        <v>290</v>
      </c>
      <c r="H25" s="11" t="s">
        <v>293</v>
      </c>
    </row>
    <row r="26" spans="1:8" s="21" customFormat="1" x14ac:dyDescent="0.25">
      <c r="A26" s="20" t="s">
        <v>7</v>
      </c>
      <c r="B26" s="23" t="s">
        <v>291</v>
      </c>
      <c r="C26" s="21" t="s">
        <v>76</v>
      </c>
      <c r="D26" s="21" t="s">
        <v>292</v>
      </c>
      <c r="E26" s="24"/>
      <c r="F26" s="21" t="s">
        <v>294</v>
      </c>
      <c r="H26" s="21" t="s">
        <v>293</v>
      </c>
    </row>
    <row r="27" spans="1:8" s="21" customFormat="1" x14ac:dyDescent="0.25">
      <c r="A27" s="20" t="s">
        <v>7</v>
      </c>
      <c r="B27" s="23" t="s">
        <v>287</v>
      </c>
      <c r="C27" s="21" t="s">
        <v>76</v>
      </c>
      <c r="D27" s="21" t="s">
        <v>296</v>
      </c>
      <c r="E27" s="24"/>
      <c r="F27" s="21" t="s">
        <v>297</v>
      </c>
      <c r="H27" s="21" t="s">
        <v>305</v>
      </c>
    </row>
    <row r="28" spans="1:8" x14ac:dyDescent="0.25">
      <c r="A28" s="3" t="s">
        <v>7</v>
      </c>
      <c r="B28" s="5" t="s">
        <v>287</v>
      </c>
      <c r="C28" s="5" t="s">
        <v>76</v>
      </c>
      <c r="D28" s="5" t="s">
        <v>70</v>
      </c>
      <c r="E28" s="15">
        <f>578/5280</f>
        <v>0.10946969696969697</v>
      </c>
      <c r="F28" s="9" t="s">
        <v>75</v>
      </c>
      <c r="G28" s="11" t="s">
        <v>288</v>
      </c>
      <c r="H28" s="9" t="s">
        <v>257</v>
      </c>
    </row>
    <row r="29" spans="1:8" x14ac:dyDescent="0.25">
      <c r="A29" s="3" t="s">
        <v>7</v>
      </c>
      <c r="B29" s="5" t="s">
        <v>295</v>
      </c>
      <c r="C29" s="9" t="s">
        <v>76</v>
      </c>
      <c r="D29" s="9" t="s">
        <v>68</v>
      </c>
      <c r="E29" s="15">
        <f>(863+150)/5280</f>
        <v>0.19185606060606061</v>
      </c>
      <c r="F29" s="9" t="s">
        <v>74</v>
      </c>
      <c r="H29" s="9" t="s">
        <v>257</v>
      </c>
    </row>
    <row r="30" spans="1:8" x14ac:dyDescent="0.25">
      <c r="A30" s="3" t="s">
        <v>7</v>
      </c>
      <c r="B30" s="5" t="s">
        <v>69</v>
      </c>
      <c r="C30" s="9" t="s">
        <v>76</v>
      </c>
      <c r="D30" s="9" t="s">
        <v>70</v>
      </c>
      <c r="E30" s="15">
        <f>1808/5280</f>
        <v>0.34242424242424241</v>
      </c>
      <c r="F30" s="9" t="s">
        <v>75</v>
      </c>
      <c r="H30" s="9" t="s">
        <v>257</v>
      </c>
    </row>
    <row r="31" spans="1:8" x14ac:dyDescent="0.25">
      <c r="A31" s="3" t="s">
        <v>7</v>
      </c>
      <c r="B31" s="14" t="s">
        <v>303</v>
      </c>
      <c r="C31" s="9" t="s">
        <v>76</v>
      </c>
      <c r="D31" s="9" t="s">
        <v>304</v>
      </c>
      <c r="E31" s="15">
        <f>287/5280</f>
        <v>5.4356060606060609E-2</v>
      </c>
      <c r="F31" s="9" t="s">
        <v>96</v>
      </c>
      <c r="G31" s="9" t="s">
        <v>298</v>
      </c>
      <c r="H31" s="9" t="s">
        <v>305</v>
      </c>
    </row>
    <row r="32" spans="1:8" s="21" customFormat="1" x14ac:dyDescent="0.25">
      <c r="A32" s="20" t="s">
        <v>7</v>
      </c>
      <c r="B32" s="23" t="s">
        <v>301</v>
      </c>
      <c r="C32" s="21" t="s">
        <v>76</v>
      </c>
      <c r="D32" s="23" t="s">
        <v>299</v>
      </c>
      <c r="E32" s="24"/>
      <c r="F32" s="21" t="s">
        <v>294</v>
      </c>
      <c r="G32" s="21" t="s">
        <v>77</v>
      </c>
      <c r="H32" s="21" t="s">
        <v>257</v>
      </c>
    </row>
    <row r="33" spans="1:8" s="21" customFormat="1" x14ac:dyDescent="0.25">
      <c r="A33" s="20" t="s">
        <v>7</v>
      </c>
      <c r="B33" s="23" t="s">
        <v>300</v>
      </c>
      <c r="C33" s="21" t="s">
        <v>76</v>
      </c>
      <c r="D33" s="23" t="s">
        <v>299</v>
      </c>
      <c r="E33" s="24"/>
      <c r="F33" s="21" t="s">
        <v>294</v>
      </c>
      <c r="H33" s="21" t="s">
        <v>257</v>
      </c>
    </row>
    <row r="34" spans="1:8" s="21" customFormat="1" x14ac:dyDescent="0.25">
      <c r="A34" s="20" t="s">
        <v>7</v>
      </c>
      <c r="B34" s="23" t="s">
        <v>302</v>
      </c>
      <c r="C34" s="21" t="s">
        <v>76</v>
      </c>
      <c r="D34" s="21" t="s">
        <v>299</v>
      </c>
      <c r="E34" s="24"/>
      <c r="F34" s="21" t="s">
        <v>294</v>
      </c>
      <c r="H34" s="21" t="s">
        <v>257</v>
      </c>
    </row>
    <row r="35" spans="1:8" s="11" customFormat="1" x14ac:dyDescent="0.25">
      <c r="A35" s="7" t="s">
        <v>7</v>
      </c>
      <c r="B35" s="14" t="s">
        <v>306</v>
      </c>
      <c r="C35" s="11" t="s">
        <v>76</v>
      </c>
      <c r="D35" s="11" t="s">
        <v>308</v>
      </c>
      <c r="E35" s="19">
        <f>(47+80)/5280</f>
        <v>2.4053030303030302E-2</v>
      </c>
      <c r="F35" s="11" t="s">
        <v>75</v>
      </c>
      <c r="G35" s="11" t="s">
        <v>307</v>
      </c>
      <c r="H35" s="9" t="s">
        <v>257</v>
      </c>
    </row>
    <row r="36" spans="1:8" x14ac:dyDescent="0.25">
      <c r="A36" s="3" t="s">
        <v>7</v>
      </c>
      <c r="B36" s="8" t="s">
        <v>309</v>
      </c>
      <c r="C36" s="9" t="s">
        <v>76</v>
      </c>
      <c r="D36" s="9" t="s">
        <v>68</v>
      </c>
      <c r="E36" s="15">
        <f>1675/5280</f>
        <v>0.31723484848484851</v>
      </c>
      <c r="F36" s="9" t="s">
        <v>74</v>
      </c>
      <c r="H36" s="9" t="s">
        <v>257</v>
      </c>
    </row>
    <row r="37" spans="1:8" x14ac:dyDescent="0.25">
      <c r="A37" s="3" t="s">
        <v>7</v>
      </c>
      <c r="B37" s="10" t="s">
        <v>73</v>
      </c>
      <c r="C37" s="9" t="s">
        <v>76</v>
      </c>
      <c r="D37" s="9" t="s">
        <v>67</v>
      </c>
      <c r="E37" s="15">
        <f>2123/5280</f>
        <v>0.40208333333333335</v>
      </c>
      <c r="F37" s="11" t="s">
        <v>310</v>
      </c>
      <c r="H37" s="9" t="s">
        <v>257</v>
      </c>
    </row>
    <row r="38" spans="1:8" s="21" customFormat="1" x14ac:dyDescent="0.25">
      <c r="A38" s="20" t="s">
        <v>7</v>
      </c>
      <c r="B38" s="25" t="s">
        <v>311</v>
      </c>
      <c r="C38" s="21" t="s">
        <v>76</v>
      </c>
      <c r="D38" s="21" t="s">
        <v>79</v>
      </c>
      <c r="E38" s="24"/>
      <c r="F38" s="21" t="s">
        <v>315</v>
      </c>
      <c r="G38" s="21" t="s">
        <v>314</v>
      </c>
      <c r="H38" s="21" t="s">
        <v>318</v>
      </c>
    </row>
    <row r="39" spans="1:8" s="21" customFormat="1" x14ac:dyDescent="0.25">
      <c r="A39" s="20" t="s">
        <v>7</v>
      </c>
      <c r="B39" s="25" t="s">
        <v>312</v>
      </c>
      <c r="C39" s="21" t="s">
        <v>76</v>
      </c>
      <c r="D39" s="21" t="s">
        <v>79</v>
      </c>
      <c r="E39" s="24"/>
      <c r="F39" s="21" t="s">
        <v>315</v>
      </c>
      <c r="G39" s="21" t="s">
        <v>314</v>
      </c>
      <c r="H39" s="21" t="s">
        <v>318</v>
      </c>
    </row>
    <row r="40" spans="1:8" x14ac:dyDescent="0.25">
      <c r="A40" s="7" t="s">
        <v>7</v>
      </c>
      <c r="B40" s="10" t="s">
        <v>313</v>
      </c>
      <c r="C40" s="11" t="s">
        <v>76</v>
      </c>
      <c r="D40" s="11" t="s">
        <v>79</v>
      </c>
      <c r="E40" s="19">
        <f>400/5280</f>
        <v>7.575757575757576E-2</v>
      </c>
      <c r="F40" s="11" t="s">
        <v>316</v>
      </c>
      <c r="G40" s="9" t="s">
        <v>317</v>
      </c>
      <c r="H40" s="9" t="s">
        <v>318</v>
      </c>
    </row>
    <row r="41" spans="1:8" x14ac:dyDescent="0.25">
      <c r="A41" s="3" t="s">
        <v>7</v>
      </c>
      <c r="B41" s="10" t="s">
        <v>81</v>
      </c>
      <c r="C41" s="9" t="s">
        <v>76</v>
      </c>
      <c r="D41" s="9" t="s">
        <v>80</v>
      </c>
      <c r="E41" s="15">
        <f>(6247+1243)/5280</f>
        <v>1.418560606060606</v>
      </c>
      <c r="F41" s="11" t="s">
        <v>202</v>
      </c>
      <c r="G41" s="9" t="s">
        <v>78</v>
      </c>
      <c r="H41" s="9" t="s">
        <v>325</v>
      </c>
    </row>
    <row r="42" spans="1:8" x14ac:dyDescent="0.25">
      <c r="A42" s="3" t="s">
        <v>7</v>
      </c>
      <c r="B42" s="10" t="s">
        <v>319</v>
      </c>
      <c r="C42" s="5" t="s">
        <v>76</v>
      </c>
      <c r="D42" s="5" t="s">
        <v>320</v>
      </c>
      <c r="E42" s="15">
        <f>1229/5280</f>
        <v>0.23276515151515151</v>
      </c>
      <c r="F42" s="14" t="s">
        <v>202</v>
      </c>
      <c r="G42" s="14" t="s">
        <v>324</v>
      </c>
      <c r="H42" s="9" t="s">
        <v>321</v>
      </c>
    </row>
    <row r="43" spans="1:8" x14ac:dyDescent="0.25">
      <c r="A43" s="3" t="s">
        <v>7</v>
      </c>
      <c r="B43" s="10" t="s">
        <v>323</v>
      </c>
      <c r="C43" s="9" t="s">
        <v>76</v>
      </c>
      <c r="D43" s="5" t="s">
        <v>320</v>
      </c>
      <c r="E43" s="15">
        <f>6881/5280</f>
        <v>1.303219696969697</v>
      </c>
      <c r="F43" s="9" t="s">
        <v>96</v>
      </c>
      <c r="G43" s="9" t="s">
        <v>322</v>
      </c>
      <c r="H43" s="9" t="s">
        <v>321</v>
      </c>
    </row>
    <row r="44" spans="1:8" x14ac:dyDescent="0.25">
      <c r="A44" s="3" t="s">
        <v>7</v>
      </c>
      <c r="B44" s="10" t="s">
        <v>327</v>
      </c>
      <c r="C44" s="9" t="s">
        <v>76</v>
      </c>
      <c r="D44" s="5" t="s">
        <v>320</v>
      </c>
      <c r="E44" s="15">
        <f>760/5280</f>
        <v>0.14393939393939395</v>
      </c>
      <c r="F44" s="9" t="s">
        <v>202</v>
      </c>
      <c r="G44" s="9" t="s">
        <v>326</v>
      </c>
      <c r="H44" s="9" t="s">
        <v>321</v>
      </c>
    </row>
    <row r="45" spans="1:8" x14ac:dyDescent="0.25">
      <c r="A45" s="3" t="s">
        <v>7</v>
      </c>
      <c r="B45" s="10" t="s">
        <v>328</v>
      </c>
      <c r="C45" s="9" t="s">
        <v>76</v>
      </c>
      <c r="D45" s="5" t="s">
        <v>262</v>
      </c>
      <c r="E45" s="15">
        <f>(778+495)/5280</f>
        <v>0.24109848484848484</v>
      </c>
      <c r="F45" s="9" t="s">
        <v>244</v>
      </c>
      <c r="H45" s="9" t="s">
        <v>257</v>
      </c>
    </row>
    <row r="46" spans="1:8" x14ac:dyDescent="0.25">
      <c r="A46" s="3"/>
      <c r="B46" s="10"/>
      <c r="D46" s="5"/>
      <c r="E46" s="15"/>
    </row>
    <row r="47" spans="1:8" x14ac:dyDescent="0.25">
      <c r="A47" s="3"/>
      <c r="B47" s="10"/>
      <c r="D47" s="27" t="s">
        <v>329</v>
      </c>
      <c r="E47" s="26">
        <f>SUM(E2:E45)</f>
        <v>13.890909090909087</v>
      </c>
      <c r="F47" s="28">
        <f>E47/48.94</f>
        <v>0.28383549429728416</v>
      </c>
    </row>
    <row r="51" spans="1:2" x14ac:dyDescent="0.25">
      <c r="A51" s="43" t="s">
        <v>1598</v>
      </c>
      <c r="B51" s="43" t="s">
        <v>1609</v>
      </c>
    </row>
    <row r="52" spans="1:2" x14ac:dyDescent="0.25">
      <c r="B52" s="43" t="s">
        <v>1610</v>
      </c>
    </row>
    <row r="53" spans="1:2" x14ac:dyDescent="0.25">
      <c r="B53" s="43" t="s">
        <v>1614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RowHeight="15" x14ac:dyDescent="0.25"/>
  <cols>
    <col min="1" max="1" width="12.42578125" customWidth="1"/>
    <col min="2" max="2" width="38" customWidth="1"/>
    <col min="3" max="3" width="14" customWidth="1"/>
    <col min="4" max="4" width="39.140625" customWidth="1"/>
    <col min="5" max="5" width="15.7109375" customWidth="1"/>
    <col min="6" max="6" width="49" customWidth="1"/>
    <col min="7" max="7" width="36.140625" customWidth="1"/>
    <col min="8" max="8" width="30.85546875" customWidth="1"/>
  </cols>
  <sheetData>
    <row r="1" spans="1:8" s="1" customFormat="1" ht="45" x14ac:dyDescent="0.25">
      <c r="A1" s="1" t="s">
        <v>0</v>
      </c>
      <c r="B1" s="1" t="s">
        <v>1</v>
      </c>
      <c r="C1" s="1" t="s">
        <v>2</v>
      </c>
      <c r="D1" s="1" t="s">
        <v>3</v>
      </c>
      <c r="E1" s="2" t="s">
        <v>71</v>
      </c>
      <c r="F1" s="1" t="s">
        <v>4</v>
      </c>
      <c r="G1" s="1" t="s">
        <v>5</v>
      </c>
      <c r="H1" s="1" t="s">
        <v>6</v>
      </c>
    </row>
    <row r="2" spans="1:8" s="9" customFormat="1" x14ac:dyDescent="0.25">
      <c r="A2" s="9" t="s">
        <v>8</v>
      </c>
      <c r="B2" s="9" t="s">
        <v>332</v>
      </c>
      <c r="C2" s="9" t="s">
        <v>333</v>
      </c>
      <c r="D2" s="5" t="s">
        <v>334</v>
      </c>
      <c r="E2" s="15">
        <f>384/5280</f>
        <v>7.2727272727272724E-2</v>
      </c>
      <c r="F2" s="9" t="s">
        <v>12</v>
      </c>
      <c r="G2" s="11" t="s">
        <v>335</v>
      </c>
      <c r="H2" s="11" t="s">
        <v>331</v>
      </c>
    </row>
    <row r="3" spans="1:8" s="9" customFormat="1" x14ac:dyDescent="0.25">
      <c r="A3" s="9" t="s">
        <v>8</v>
      </c>
      <c r="B3" s="9" t="s">
        <v>336</v>
      </c>
      <c r="C3" s="9" t="s">
        <v>333</v>
      </c>
      <c r="D3" s="14" t="s">
        <v>1588</v>
      </c>
      <c r="E3" s="15">
        <f>500/5280</f>
        <v>9.4696969696969696E-2</v>
      </c>
      <c r="F3" s="9" t="s">
        <v>244</v>
      </c>
      <c r="G3" s="11" t="s">
        <v>337</v>
      </c>
      <c r="H3" s="11" t="s">
        <v>331</v>
      </c>
    </row>
    <row r="4" spans="1:8" s="9" customFormat="1" x14ac:dyDescent="0.25">
      <c r="A4" s="3" t="s">
        <v>8</v>
      </c>
      <c r="B4" s="5" t="s">
        <v>19</v>
      </c>
      <c r="C4" s="9" t="s">
        <v>333</v>
      </c>
      <c r="D4" s="9" t="s">
        <v>16</v>
      </c>
      <c r="E4" s="15">
        <f>(1705+1082)/5280</f>
        <v>0.52784090909090908</v>
      </c>
      <c r="F4" s="9" t="s">
        <v>12</v>
      </c>
      <c r="G4" s="9" t="s">
        <v>330</v>
      </c>
      <c r="H4" s="11" t="s">
        <v>331</v>
      </c>
    </row>
    <row r="5" spans="1:8" s="9" customFormat="1" x14ac:dyDescent="0.25">
      <c r="A5" s="3" t="s">
        <v>8</v>
      </c>
      <c r="B5" s="5" t="s">
        <v>82</v>
      </c>
      <c r="C5" s="9" t="s">
        <v>333</v>
      </c>
      <c r="D5" s="9" t="s">
        <v>16</v>
      </c>
      <c r="E5" s="15">
        <f>635/5280</f>
        <v>0.12026515151515152</v>
      </c>
      <c r="F5" s="9" t="s">
        <v>12</v>
      </c>
      <c r="G5" s="9" t="s">
        <v>1517</v>
      </c>
      <c r="H5" s="11" t="s">
        <v>331</v>
      </c>
    </row>
    <row r="6" spans="1:8" s="21" customFormat="1" x14ac:dyDescent="0.25">
      <c r="A6" s="20" t="s">
        <v>8</v>
      </c>
      <c r="B6" s="23" t="s">
        <v>338</v>
      </c>
      <c r="C6" s="21" t="s">
        <v>333</v>
      </c>
      <c r="D6" s="21" t="s">
        <v>340</v>
      </c>
      <c r="E6" s="22"/>
      <c r="F6" s="21" t="s">
        <v>96</v>
      </c>
      <c r="G6" s="21" t="s">
        <v>339</v>
      </c>
      <c r="H6" s="21" t="s">
        <v>331</v>
      </c>
    </row>
    <row r="7" spans="1:8" s="9" customFormat="1" x14ac:dyDescent="0.25">
      <c r="A7" s="3" t="s">
        <v>8</v>
      </c>
      <c r="B7" s="5" t="s">
        <v>341</v>
      </c>
      <c r="C7" s="9" t="s">
        <v>333</v>
      </c>
      <c r="D7" s="9" t="s">
        <v>16</v>
      </c>
      <c r="E7" s="15">
        <f>157/5280</f>
        <v>2.9734848484848486E-2</v>
      </c>
      <c r="F7" s="9" t="s">
        <v>12</v>
      </c>
      <c r="G7" s="9" t="s">
        <v>342</v>
      </c>
      <c r="H7" s="11" t="s">
        <v>331</v>
      </c>
    </row>
    <row r="8" spans="1:8" s="9" customFormat="1" x14ac:dyDescent="0.25">
      <c r="A8" s="3" t="s">
        <v>8</v>
      </c>
      <c r="B8" s="5" t="s">
        <v>343</v>
      </c>
      <c r="C8" s="9" t="s">
        <v>333</v>
      </c>
      <c r="D8" s="9" t="s">
        <v>16</v>
      </c>
      <c r="E8" s="15">
        <f>470/5280</f>
        <v>8.9015151515151519E-2</v>
      </c>
      <c r="F8" s="9" t="s">
        <v>158</v>
      </c>
      <c r="G8" s="9" t="s">
        <v>344</v>
      </c>
      <c r="H8" s="11" t="s">
        <v>331</v>
      </c>
    </row>
    <row r="9" spans="1:8" s="9" customFormat="1" x14ac:dyDescent="0.25">
      <c r="A9" s="3" t="s">
        <v>8</v>
      </c>
      <c r="B9" s="9" t="s">
        <v>18</v>
      </c>
      <c r="C9" s="9" t="s">
        <v>333</v>
      </c>
      <c r="D9" s="11" t="s">
        <v>340</v>
      </c>
      <c r="E9" s="15">
        <f>1002/5280</f>
        <v>0.18977272727272726</v>
      </c>
      <c r="F9" s="9" t="s">
        <v>96</v>
      </c>
      <c r="G9" s="9" t="s">
        <v>345</v>
      </c>
      <c r="H9" s="11" t="s">
        <v>331</v>
      </c>
    </row>
    <row r="10" spans="1:8" s="21" customFormat="1" x14ac:dyDescent="0.25">
      <c r="A10" s="20" t="s">
        <v>8</v>
      </c>
      <c r="B10" s="23" t="s">
        <v>346</v>
      </c>
      <c r="C10" s="21" t="s">
        <v>333</v>
      </c>
      <c r="D10" s="21" t="s">
        <v>347</v>
      </c>
      <c r="E10" s="22"/>
      <c r="F10" s="21" t="s">
        <v>96</v>
      </c>
      <c r="G10" s="21" t="s">
        <v>339</v>
      </c>
      <c r="H10" s="21" t="s">
        <v>331</v>
      </c>
    </row>
    <row r="11" spans="1:8" s="9" customFormat="1" x14ac:dyDescent="0.25">
      <c r="A11" s="3" t="s">
        <v>8</v>
      </c>
      <c r="B11" s="9" t="s">
        <v>17</v>
      </c>
      <c r="C11" s="9" t="s">
        <v>333</v>
      </c>
      <c r="D11" s="9" t="s">
        <v>16</v>
      </c>
      <c r="E11" s="15">
        <f>1031/5280</f>
        <v>0.1952651515151515</v>
      </c>
      <c r="F11" s="9" t="s">
        <v>12</v>
      </c>
      <c r="G11" s="11" t="s">
        <v>348</v>
      </c>
      <c r="H11" s="11" t="s">
        <v>331</v>
      </c>
    </row>
    <row r="12" spans="1:8" s="9" customFormat="1" x14ac:dyDescent="0.25">
      <c r="A12" s="3" t="s">
        <v>8</v>
      </c>
      <c r="B12" s="9" t="s">
        <v>349</v>
      </c>
      <c r="C12" s="9" t="s">
        <v>333</v>
      </c>
      <c r="D12" s="9" t="s">
        <v>350</v>
      </c>
      <c r="E12" s="15">
        <f>165/5280</f>
        <v>3.125E-2</v>
      </c>
      <c r="F12" s="9" t="s">
        <v>202</v>
      </c>
      <c r="G12" s="11" t="s">
        <v>351</v>
      </c>
      <c r="H12" s="11" t="s">
        <v>331</v>
      </c>
    </row>
    <row r="13" spans="1:8" s="9" customFormat="1" x14ac:dyDescent="0.25">
      <c r="A13" s="3" t="s">
        <v>8</v>
      </c>
      <c r="B13" s="9" t="s">
        <v>357</v>
      </c>
      <c r="C13" s="9" t="s">
        <v>333</v>
      </c>
      <c r="D13" s="9" t="s">
        <v>16</v>
      </c>
      <c r="E13" s="15">
        <f>5521/5280</f>
        <v>1.0456439393939394</v>
      </c>
      <c r="F13" s="9" t="s">
        <v>12</v>
      </c>
      <c r="G13" s="11" t="s">
        <v>352</v>
      </c>
      <c r="H13" s="11" t="s">
        <v>331</v>
      </c>
    </row>
    <row r="14" spans="1:8" s="9" customFormat="1" x14ac:dyDescent="0.25">
      <c r="A14" s="3" t="s">
        <v>8</v>
      </c>
      <c r="B14" s="11" t="s">
        <v>353</v>
      </c>
      <c r="C14" s="9" t="s">
        <v>333</v>
      </c>
      <c r="D14" s="9" t="s">
        <v>16</v>
      </c>
      <c r="E14" s="19">
        <f>(9107-1285)/5280</f>
        <v>1.4814393939393939</v>
      </c>
      <c r="F14" s="9" t="s">
        <v>12</v>
      </c>
      <c r="G14" s="11" t="s">
        <v>1518</v>
      </c>
      <c r="H14" s="11" t="s">
        <v>331</v>
      </c>
    </row>
    <row r="15" spans="1:8" s="9" customFormat="1" x14ac:dyDescent="0.25">
      <c r="A15" s="3" t="s">
        <v>8</v>
      </c>
      <c r="B15" s="9" t="s">
        <v>354</v>
      </c>
      <c r="C15" s="9" t="s">
        <v>333</v>
      </c>
      <c r="D15" s="9" t="s">
        <v>355</v>
      </c>
      <c r="E15" s="15">
        <f>6517/5280</f>
        <v>1.2342803030303031</v>
      </c>
      <c r="F15" s="9" t="s">
        <v>96</v>
      </c>
      <c r="G15" s="11" t="s">
        <v>356</v>
      </c>
      <c r="H15" s="11" t="s">
        <v>331</v>
      </c>
    </row>
    <row r="16" spans="1:8" s="9" customFormat="1" x14ac:dyDescent="0.25">
      <c r="E16" s="4"/>
    </row>
    <row r="17" spans="1:6" s="9" customFormat="1" x14ac:dyDescent="0.25">
      <c r="D17" s="27" t="s">
        <v>329</v>
      </c>
      <c r="E17" s="15">
        <f>SUM(E2:E15)</f>
        <v>5.1119318181818185</v>
      </c>
      <c r="F17" s="28">
        <f>E17/9.58</f>
        <v>0.53360457392294558</v>
      </c>
    </row>
    <row r="20" spans="1:6" x14ac:dyDescent="0.25">
      <c r="A20" s="43" t="s">
        <v>1598</v>
      </c>
      <c r="B20" s="43" t="s">
        <v>1609</v>
      </c>
    </row>
    <row r="21" spans="1:6" x14ac:dyDescent="0.25">
      <c r="B21" s="43" t="s">
        <v>1610</v>
      </c>
    </row>
    <row r="22" spans="1:6" x14ac:dyDescent="0.25">
      <c r="B22" s="43" t="s">
        <v>1614</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7"/>
  <sheetViews>
    <sheetView workbookViewId="0">
      <pane ySplit="1" topLeftCell="A2" activePane="bottomLeft" state="frozen"/>
      <selection pane="bottomLeft"/>
    </sheetView>
  </sheetViews>
  <sheetFormatPr defaultRowHeight="15" x14ac:dyDescent="0.25"/>
  <cols>
    <col min="1" max="1" width="12.42578125" customWidth="1"/>
    <col min="2" max="2" width="38" customWidth="1"/>
    <col min="3" max="3" width="14" customWidth="1"/>
    <col min="4" max="4" width="39.140625" customWidth="1"/>
    <col min="5" max="5" width="15.7109375" customWidth="1"/>
    <col min="6" max="6" width="49" customWidth="1"/>
    <col min="7" max="7" width="36.140625" customWidth="1"/>
    <col min="8" max="8" width="30.85546875" customWidth="1"/>
  </cols>
  <sheetData>
    <row r="1" spans="1:8" s="1" customFormat="1" ht="45" x14ac:dyDescent="0.25">
      <c r="A1" s="1" t="s">
        <v>0</v>
      </c>
      <c r="B1" s="1" t="s">
        <v>1</v>
      </c>
      <c r="C1" s="1" t="s">
        <v>2</v>
      </c>
      <c r="D1" s="1" t="s">
        <v>3</v>
      </c>
      <c r="E1" s="2" t="s">
        <v>71</v>
      </c>
      <c r="F1" s="1" t="s">
        <v>4</v>
      </c>
      <c r="G1" s="1" t="s">
        <v>5</v>
      </c>
      <c r="H1" s="1" t="s">
        <v>6</v>
      </c>
    </row>
    <row r="2" spans="1:8" s="9" customFormat="1" x14ac:dyDescent="0.25">
      <c r="A2" s="3" t="s">
        <v>9</v>
      </c>
      <c r="B2" s="9" t="s">
        <v>29</v>
      </c>
      <c r="C2" s="9" t="s">
        <v>36</v>
      </c>
      <c r="D2" s="9" t="s">
        <v>49</v>
      </c>
      <c r="E2" s="15">
        <f>(10367+4400+3676)/5280</f>
        <v>3.4929924242424244</v>
      </c>
      <c r="F2" s="9" t="s">
        <v>96</v>
      </c>
      <c r="G2" s="9" t="s">
        <v>530</v>
      </c>
      <c r="H2" s="9" t="s">
        <v>1591</v>
      </c>
    </row>
    <row r="3" spans="1:8" s="9" customFormat="1" x14ac:dyDescent="0.25">
      <c r="A3" s="3" t="s">
        <v>9</v>
      </c>
      <c r="B3" s="9" t="s">
        <v>527</v>
      </c>
      <c r="C3" s="9" t="s">
        <v>36</v>
      </c>
      <c r="D3" s="9" t="s">
        <v>528</v>
      </c>
      <c r="E3" s="15">
        <f>(925+530)/5280</f>
        <v>0.27556818181818182</v>
      </c>
      <c r="F3" s="9" t="s">
        <v>96</v>
      </c>
      <c r="G3" s="9" t="s">
        <v>529</v>
      </c>
      <c r="H3" s="9" t="s">
        <v>1591</v>
      </c>
    </row>
    <row r="4" spans="1:8" s="9" customFormat="1" x14ac:dyDescent="0.25">
      <c r="A4" s="3" t="s">
        <v>9</v>
      </c>
      <c r="B4" s="9" t="s">
        <v>15</v>
      </c>
      <c r="C4" s="9" t="s">
        <v>36</v>
      </c>
      <c r="D4" s="9" t="s">
        <v>68</v>
      </c>
      <c r="E4" s="15">
        <f>(14379-481+5560+13098)/5280</f>
        <v>6.165909090909091</v>
      </c>
      <c r="F4" s="9" t="s">
        <v>74</v>
      </c>
      <c r="G4" s="9" t="s">
        <v>1569</v>
      </c>
      <c r="H4" s="9" t="s">
        <v>1591</v>
      </c>
    </row>
    <row r="5" spans="1:8" s="9" customFormat="1" x14ac:dyDescent="0.25">
      <c r="A5" s="3" t="s">
        <v>9</v>
      </c>
      <c r="B5" s="9" t="s">
        <v>33</v>
      </c>
      <c r="C5" s="9" t="s">
        <v>36</v>
      </c>
      <c r="D5" s="9" t="s">
        <v>49</v>
      </c>
      <c r="E5" s="15">
        <f>3866/5280</f>
        <v>0.73219696969696968</v>
      </c>
      <c r="F5" s="9" t="s">
        <v>125</v>
      </c>
      <c r="G5" s="9" t="s">
        <v>531</v>
      </c>
      <c r="H5" s="9" t="s">
        <v>1591</v>
      </c>
    </row>
    <row r="6" spans="1:8" s="9" customFormat="1" x14ac:dyDescent="0.25">
      <c r="A6" s="3" t="s">
        <v>9</v>
      </c>
      <c r="B6" s="9" t="s">
        <v>34</v>
      </c>
      <c r="C6" s="9" t="s">
        <v>36</v>
      </c>
      <c r="D6" s="9" t="s">
        <v>35</v>
      </c>
      <c r="E6" s="15">
        <f>21153/5280</f>
        <v>4.0062499999999996</v>
      </c>
      <c r="F6" s="9" t="s">
        <v>533</v>
      </c>
      <c r="G6" s="9" t="s">
        <v>532</v>
      </c>
      <c r="H6" s="9" t="s">
        <v>1591</v>
      </c>
    </row>
    <row r="7" spans="1:8" s="9" customFormat="1" x14ac:dyDescent="0.25">
      <c r="A7" s="3" t="s">
        <v>9</v>
      </c>
      <c r="B7" s="9" t="s">
        <v>37</v>
      </c>
      <c r="C7" s="9" t="s">
        <v>36</v>
      </c>
      <c r="D7" s="9" t="s">
        <v>534</v>
      </c>
      <c r="E7" s="15">
        <f>3303/5280</f>
        <v>0.62556818181818186</v>
      </c>
      <c r="F7" s="9" t="s">
        <v>96</v>
      </c>
      <c r="G7" s="9" t="s">
        <v>535</v>
      </c>
      <c r="H7" s="9" t="s">
        <v>1591</v>
      </c>
    </row>
    <row r="8" spans="1:8" s="21" customFormat="1" x14ac:dyDescent="0.25">
      <c r="A8" s="20" t="s">
        <v>9</v>
      </c>
      <c r="B8" s="21" t="s">
        <v>536</v>
      </c>
      <c r="C8" s="21" t="s">
        <v>36</v>
      </c>
      <c r="D8" s="21" t="s">
        <v>38</v>
      </c>
      <c r="E8" s="22" t="s">
        <v>455</v>
      </c>
      <c r="F8" s="21" t="s">
        <v>540</v>
      </c>
      <c r="G8" s="21" t="s">
        <v>544</v>
      </c>
      <c r="H8" s="21" t="s">
        <v>1591</v>
      </c>
    </row>
    <row r="9" spans="1:8" s="21" customFormat="1" x14ac:dyDescent="0.25">
      <c r="A9" s="20" t="s">
        <v>9</v>
      </c>
      <c r="B9" s="21" t="s">
        <v>537</v>
      </c>
      <c r="C9" s="21" t="s">
        <v>36</v>
      </c>
      <c r="D9" s="21" t="s">
        <v>38</v>
      </c>
      <c r="E9" s="22" t="s">
        <v>455</v>
      </c>
      <c r="F9" s="21" t="s">
        <v>539</v>
      </c>
      <c r="G9" s="21" t="s">
        <v>543</v>
      </c>
      <c r="H9" s="21" t="s">
        <v>1591</v>
      </c>
    </row>
    <row r="10" spans="1:8" s="21" customFormat="1" x14ac:dyDescent="0.25">
      <c r="A10" s="20" t="s">
        <v>9</v>
      </c>
      <c r="B10" s="21" t="s">
        <v>538</v>
      </c>
      <c r="C10" s="21" t="s">
        <v>36</v>
      </c>
      <c r="D10" s="21" t="s">
        <v>38</v>
      </c>
      <c r="E10" s="22" t="s">
        <v>455</v>
      </c>
      <c r="F10" s="21" t="s">
        <v>541</v>
      </c>
      <c r="G10" s="21" t="s">
        <v>542</v>
      </c>
      <c r="H10" s="21" t="s">
        <v>1591</v>
      </c>
    </row>
    <row r="11" spans="1:8" s="9" customFormat="1" x14ac:dyDescent="0.25">
      <c r="A11" s="3" t="s">
        <v>9</v>
      </c>
      <c r="B11" s="9" t="s">
        <v>39</v>
      </c>
      <c r="C11" s="9" t="s">
        <v>36</v>
      </c>
      <c r="D11" s="9" t="s">
        <v>38</v>
      </c>
      <c r="E11" s="15">
        <f>(273+942+808)/5280</f>
        <v>0.38314393939393937</v>
      </c>
      <c r="F11" s="9" t="s">
        <v>96</v>
      </c>
      <c r="G11" s="9" t="s">
        <v>545</v>
      </c>
      <c r="H11" s="9" t="s">
        <v>1591</v>
      </c>
    </row>
    <row r="12" spans="1:8" s="21" customFormat="1" x14ac:dyDescent="0.25">
      <c r="A12" s="20" t="s">
        <v>9</v>
      </c>
      <c r="B12" s="21" t="s">
        <v>546</v>
      </c>
      <c r="C12" s="21" t="s">
        <v>36</v>
      </c>
      <c r="D12" s="21" t="s">
        <v>38</v>
      </c>
      <c r="E12" s="22" t="s">
        <v>455</v>
      </c>
      <c r="F12" s="21" t="s">
        <v>547</v>
      </c>
      <c r="G12" s="21" t="s">
        <v>544</v>
      </c>
      <c r="H12" s="21" t="s">
        <v>1591</v>
      </c>
    </row>
    <row r="13" spans="1:8" s="9" customFormat="1" x14ac:dyDescent="0.25">
      <c r="A13" s="3" t="s">
        <v>9</v>
      </c>
      <c r="B13" s="9" t="s">
        <v>40</v>
      </c>
      <c r="C13" s="9" t="s">
        <v>36</v>
      </c>
      <c r="D13" s="9" t="s">
        <v>534</v>
      </c>
      <c r="E13" s="15">
        <v>0.43</v>
      </c>
      <c r="F13" s="9" t="s">
        <v>96</v>
      </c>
      <c r="G13" s="9" t="s">
        <v>548</v>
      </c>
      <c r="H13" s="9" t="s">
        <v>1591</v>
      </c>
    </row>
    <row r="14" spans="1:8" s="21" customFormat="1" x14ac:dyDescent="0.25">
      <c r="A14" s="20" t="s">
        <v>9</v>
      </c>
      <c r="B14" s="21" t="s">
        <v>549</v>
      </c>
      <c r="C14" s="21" t="s">
        <v>36</v>
      </c>
      <c r="D14" s="21" t="s">
        <v>550</v>
      </c>
      <c r="E14" s="22" t="s">
        <v>455</v>
      </c>
      <c r="F14" s="21" t="s">
        <v>551</v>
      </c>
      <c r="G14" s="21" t="s">
        <v>554</v>
      </c>
      <c r="H14" s="21" t="s">
        <v>1591</v>
      </c>
    </row>
    <row r="15" spans="1:8" s="21" customFormat="1" x14ac:dyDescent="0.25">
      <c r="A15" s="20" t="s">
        <v>9</v>
      </c>
      <c r="B15" s="21" t="s">
        <v>552</v>
      </c>
      <c r="C15" s="21" t="s">
        <v>36</v>
      </c>
      <c r="D15" s="21" t="s">
        <v>550</v>
      </c>
      <c r="E15" s="22" t="s">
        <v>455</v>
      </c>
      <c r="F15" s="21" t="s">
        <v>553</v>
      </c>
      <c r="G15" s="21" t="s">
        <v>556</v>
      </c>
      <c r="H15" s="21" t="s">
        <v>1591</v>
      </c>
    </row>
    <row r="16" spans="1:8" s="9" customFormat="1" x14ac:dyDescent="0.25">
      <c r="A16" s="3" t="s">
        <v>9</v>
      </c>
      <c r="B16" s="9" t="s">
        <v>555</v>
      </c>
      <c r="C16" s="9" t="s">
        <v>36</v>
      </c>
      <c r="D16" s="9" t="s">
        <v>550</v>
      </c>
      <c r="E16" s="15">
        <f>732/5280</f>
        <v>0.13863636363636364</v>
      </c>
      <c r="F16" s="9" t="s">
        <v>96</v>
      </c>
      <c r="G16" s="9" t="s">
        <v>557</v>
      </c>
      <c r="H16" s="9" t="s">
        <v>1591</v>
      </c>
    </row>
    <row r="17" spans="1:8" s="21" customFormat="1" x14ac:dyDescent="0.25">
      <c r="A17" s="20" t="s">
        <v>9</v>
      </c>
      <c r="B17" s="21" t="s">
        <v>558</v>
      </c>
      <c r="C17" s="21" t="s">
        <v>36</v>
      </c>
      <c r="D17" s="21" t="s">
        <v>550</v>
      </c>
      <c r="E17" s="22" t="s">
        <v>455</v>
      </c>
      <c r="F17" s="21" t="s">
        <v>559</v>
      </c>
      <c r="G17" s="21" t="s">
        <v>561</v>
      </c>
      <c r="H17" s="21" t="s">
        <v>1591</v>
      </c>
    </row>
    <row r="18" spans="1:8" s="9" customFormat="1" x14ac:dyDescent="0.25">
      <c r="A18" s="3" t="s">
        <v>9</v>
      </c>
      <c r="B18" s="9" t="s">
        <v>560</v>
      </c>
      <c r="C18" s="9" t="s">
        <v>36</v>
      </c>
      <c r="D18" s="9" t="s">
        <v>573</v>
      </c>
      <c r="E18" s="15">
        <v>0.14000000000000001</v>
      </c>
      <c r="F18" s="9" t="s">
        <v>96</v>
      </c>
      <c r="G18" s="9" t="s">
        <v>563</v>
      </c>
      <c r="H18" s="9" t="s">
        <v>1591</v>
      </c>
    </row>
    <row r="19" spans="1:8" s="21" customFormat="1" x14ac:dyDescent="0.25">
      <c r="A19" s="20" t="s">
        <v>9</v>
      </c>
      <c r="B19" s="21" t="s">
        <v>562</v>
      </c>
      <c r="C19" s="21" t="s">
        <v>36</v>
      </c>
      <c r="D19" s="21" t="s">
        <v>573</v>
      </c>
      <c r="E19" s="22" t="s">
        <v>455</v>
      </c>
      <c r="F19" s="21" t="s">
        <v>565</v>
      </c>
      <c r="G19" s="21" t="s">
        <v>564</v>
      </c>
      <c r="H19" s="21" t="s">
        <v>1591</v>
      </c>
    </row>
    <row r="20" spans="1:8" s="9" customFormat="1" x14ac:dyDescent="0.25">
      <c r="A20" s="3" t="s">
        <v>9</v>
      </c>
      <c r="B20" s="9" t="s">
        <v>566</v>
      </c>
      <c r="C20" s="9" t="s">
        <v>36</v>
      </c>
      <c r="D20" s="9" t="s">
        <v>573</v>
      </c>
      <c r="E20" s="15">
        <v>0.23</v>
      </c>
      <c r="F20" s="9" t="s">
        <v>96</v>
      </c>
      <c r="G20" s="9" t="s">
        <v>567</v>
      </c>
      <c r="H20" s="9" t="s">
        <v>1591</v>
      </c>
    </row>
    <row r="21" spans="1:8" s="9" customFormat="1" x14ac:dyDescent="0.25">
      <c r="A21" s="3" t="s">
        <v>9</v>
      </c>
      <c r="B21" s="9" t="s">
        <v>568</v>
      </c>
      <c r="C21" s="9" t="s">
        <v>36</v>
      </c>
      <c r="D21" s="9" t="s">
        <v>573</v>
      </c>
      <c r="E21" s="15">
        <v>0.12</v>
      </c>
      <c r="F21" s="9" t="s">
        <v>202</v>
      </c>
      <c r="G21" s="9" t="s">
        <v>569</v>
      </c>
      <c r="H21" s="9" t="s">
        <v>1591</v>
      </c>
    </row>
    <row r="22" spans="1:8" s="9" customFormat="1" x14ac:dyDescent="0.25">
      <c r="A22" s="3" t="s">
        <v>9</v>
      </c>
      <c r="B22" s="9" t="s">
        <v>570</v>
      </c>
      <c r="C22" s="9" t="s">
        <v>36</v>
      </c>
      <c r="D22" s="9" t="s">
        <v>575</v>
      </c>
      <c r="E22" s="15">
        <v>0.11</v>
      </c>
      <c r="F22" s="9" t="s">
        <v>96</v>
      </c>
      <c r="G22" s="9" t="s">
        <v>571</v>
      </c>
      <c r="H22" s="9" t="s">
        <v>1591</v>
      </c>
    </row>
    <row r="23" spans="1:8" s="9" customFormat="1" x14ac:dyDescent="0.25">
      <c r="A23" s="3" t="s">
        <v>9</v>
      </c>
      <c r="B23" s="9" t="s">
        <v>572</v>
      </c>
      <c r="C23" s="9" t="s">
        <v>36</v>
      </c>
      <c r="D23" s="9" t="s">
        <v>574</v>
      </c>
      <c r="E23" s="15">
        <v>0.21</v>
      </c>
      <c r="F23" s="9" t="s">
        <v>202</v>
      </c>
      <c r="G23" s="9" t="s">
        <v>576</v>
      </c>
      <c r="H23" s="9" t="s">
        <v>1591</v>
      </c>
    </row>
    <row r="24" spans="1:8" s="9" customFormat="1" x14ac:dyDescent="0.25">
      <c r="A24" s="3" t="s">
        <v>9</v>
      </c>
      <c r="B24" s="9" t="s">
        <v>577</v>
      </c>
      <c r="C24" s="9" t="s">
        <v>36</v>
      </c>
      <c r="D24" s="9" t="s">
        <v>578</v>
      </c>
      <c r="E24" s="15">
        <v>0.25</v>
      </c>
      <c r="F24" s="9" t="s">
        <v>579</v>
      </c>
      <c r="G24" s="9" t="s">
        <v>580</v>
      </c>
      <c r="H24" s="9" t="s">
        <v>1591</v>
      </c>
    </row>
    <row r="25" spans="1:8" s="9" customFormat="1" x14ac:dyDescent="0.25">
      <c r="A25" s="3" t="s">
        <v>9</v>
      </c>
      <c r="B25" s="9" t="s">
        <v>581</v>
      </c>
      <c r="C25" s="9" t="s">
        <v>36</v>
      </c>
      <c r="D25" s="9" t="s">
        <v>578</v>
      </c>
      <c r="E25" s="15">
        <v>0.06</v>
      </c>
      <c r="F25" s="9" t="s">
        <v>585</v>
      </c>
      <c r="G25" s="9" t="s">
        <v>582</v>
      </c>
      <c r="H25" s="9" t="s">
        <v>1591</v>
      </c>
    </row>
    <row r="26" spans="1:8" s="9" customFormat="1" x14ac:dyDescent="0.25">
      <c r="A26" s="3" t="s">
        <v>9</v>
      </c>
      <c r="B26" s="9" t="s">
        <v>583</v>
      </c>
      <c r="C26" s="9" t="s">
        <v>36</v>
      </c>
      <c r="D26" s="9" t="s">
        <v>578</v>
      </c>
      <c r="E26" s="15">
        <v>0.16</v>
      </c>
      <c r="F26" s="9" t="s">
        <v>584</v>
      </c>
      <c r="G26" s="9" t="s">
        <v>586</v>
      </c>
      <c r="H26" s="9" t="s">
        <v>1591</v>
      </c>
    </row>
    <row r="27" spans="1:8" s="9" customFormat="1" x14ac:dyDescent="0.25">
      <c r="A27" s="3" t="s">
        <v>9</v>
      </c>
      <c r="B27" s="9" t="s">
        <v>587</v>
      </c>
      <c r="C27" s="9" t="s">
        <v>36</v>
      </c>
      <c r="D27" s="9" t="s">
        <v>49</v>
      </c>
      <c r="E27" s="15">
        <f>0.1453+0.157+1.35+0.375+0.16</f>
        <v>2.1873000000000005</v>
      </c>
      <c r="F27" s="9" t="s">
        <v>589</v>
      </c>
      <c r="G27" s="9" t="s">
        <v>588</v>
      </c>
      <c r="H27" s="9" t="s">
        <v>1591</v>
      </c>
    </row>
    <row r="28" spans="1:8" s="9" customFormat="1" x14ac:dyDescent="0.25">
      <c r="A28" s="3" t="s">
        <v>9</v>
      </c>
      <c r="B28" s="9" t="s">
        <v>100</v>
      </c>
      <c r="C28" s="9" t="s">
        <v>36</v>
      </c>
      <c r="D28" s="9" t="s">
        <v>590</v>
      </c>
      <c r="E28" s="15">
        <v>0.52</v>
      </c>
      <c r="F28" s="9" t="s">
        <v>202</v>
      </c>
      <c r="G28" s="9" t="s">
        <v>591</v>
      </c>
      <c r="H28" s="9" t="s">
        <v>1591</v>
      </c>
    </row>
    <row r="29" spans="1:8" s="21" customFormat="1" x14ac:dyDescent="0.25">
      <c r="A29" s="20" t="s">
        <v>9</v>
      </c>
      <c r="B29" s="21" t="s">
        <v>592</v>
      </c>
      <c r="C29" s="21" t="s">
        <v>36</v>
      </c>
      <c r="D29" s="21" t="s">
        <v>590</v>
      </c>
      <c r="E29" s="22" t="s">
        <v>455</v>
      </c>
      <c r="F29" s="21" t="s">
        <v>593</v>
      </c>
      <c r="G29" s="21" t="s">
        <v>594</v>
      </c>
      <c r="H29" s="21" t="s">
        <v>1591</v>
      </c>
    </row>
    <row r="30" spans="1:8" s="9" customFormat="1" x14ac:dyDescent="0.25">
      <c r="A30" s="3" t="s">
        <v>9</v>
      </c>
      <c r="B30" s="9" t="s">
        <v>595</v>
      </c>
      <c r="C30" s="9" t="s">
        <v>36</v>
      </c>
      <c r="D30" s="9" t="s">
        <v>590</v>
      </c>
      <c r="E30" s="15">
        <v>0.26</v>
      </c>
      <c r="F30" s="9" t="s">
        <v>96</v>
      </c>
      <c r="G30" s="9" t="s">
        <v>596</v>
      </c>
      <c r="H30" s="9" t="s">
        <v>1591</v>
      </c>
    </row>
    <row r="31" spans="1:8" s="9" customFormat="1" x14ac:dyDescent="0.25">
      <c r="A31" s="3" t="s">
        <v>9</v>
      </c>
      <c r="B31" s="9" t="s">
        <v>598</v>
      </c>
      <c r="C31" s="9" t="s">
        <v>62</v>
      </c>
      <c r="D31" s="9" t="s">
        <v>49</v>
      </c>
      <c r="E31" s="15">
        <v>2.71</v>
      </c>
      <c r="F31" s="9" t="s">
        <v>96</v>
      </c>
      <c r="G31" s="9" t="s">
        <v>597</v>
      </c>
      <c r="H31" s="9" t="s">
        <v>1591</v>
      </c>
    </row>
    <row r="32" spans="1:8" s="9" customFormat="1" x14ac:dyDescent="0.25">
      <c r="A32" s="3" t="s">
        <v>9</v>
      </c>
      <c r="B32" s="9" t="s">
        <v>600</v>
      </c>
      <c r="C32" s="9" t="s">
        <v>62</v>
      </c>
      <c r="D32" s="9" t="s">
        <v>49</v>
      </c>
      <c r="E32" s="15">
        <v>0.27</v>
      </c>
      <c r="F32" s="9" t="s">
        <v>96</v>
      </c>
      <c r="G32" s="9" t="s">
        <v>599</v>
      </c>
      <c r="H32" s="9" t="s">
        <v>1591</v>
      </c>
    </row>
    <row r="33" spans="1:8" s="9" customFormat="1" x14ac:dyDescent="0.25">
      <c r="A33" s="3" t="s">
        <v>9</v>
      </c>
      <c r="B33" s="9" t="s">
        <v>601</v>
      </c>
      <c r="C33" s="9" t="s">
        <v>62</v>
      </c>
      <c r="D33" s="9" t="s">
        <v>49</v>
      </c>
      <c r="E33" s="15">
        <v>1.04</v>
      </c>
      <c r="F33" s="9" t="s">
        <v>96</v>
      </c>
      <c r="G33" s="9" t="s">
        <v>602</v>
      </c>
      <c r="H33" s="9" t="s">
        <v>1591</v>
      </c>
    </row>
    <row r="34" spans="1:8" s="9" customFormat="1" x14ac:dyDescent="0.25">
      <c r="A34" s="3" t="s">
        <v>9</v>
      </c>
      <c r="B34" s="9" t="s">
        <v>603</v>
      </c>
      <c r="C34" s="9" t="s">
        <v>62</v>
      </c>
      <c r="D34" s="9" t="s">
        <v>604</v>
      </c>
      <c r="E34" s="15">
        <v>0.84</v>
      </c>
      <c r="F34" s="9" t="s">
        <v>96</v>
      </c>
      <c r="G34" s="9" t="s">
        <v>605</v>
      </c>
      <c r="H34" s="9" t="s">
        <v>1591</v>
      </c>
    </row>
    <row r="35" spans="1:8" s="21" customFormat="1" x14ac:dyDescent="0.25">
      <c r="A35" s="20" t="s">
        <v>9</v>
      </c>
      <c r="B35" s="21" t="s">
        <v>606</v>
      </c>
      <c r="C35" s="21" t="s">
        <v>62</v>
      </c>
      <c r="D35" s="21" t="s">
        <v>607</v>
      </c>
      <c r="E35" s="22" t="s">
        <v>455</v>
      </c>
      <c r="F35" s="21" t="s">
        <v>609</v>
      </c>
      <c r="G35" s="21" t="s">
        <v>608</v>
      </c>
      <c r="H35" s="21" t="s">
        <v>1591</v>
      </c>
    </row>
    <row r="36" spans="1:8" s="9" customFormat="1" x14ac:dyDescent="0.25">
      <c r="A36" s="3" t="s">
        <v>9</v>
      </c>
      <c r="B36" s="9" t="s">
        <v>610</v>
      </c>
      <c r="C36" s="9" t="s">
        <v>62</v>
      </c>
      <c r="D36" s="9" t="s">
        <v>611</v>
      </c>
      <c r="E36" s="15">
        <f>(6213+6410+1791+383)/5280</f>
        <v>2.802462121212121</v>
      </c>
      <c r="F36" s="9" t="s">
        <v>612</v>
      </c>
      <c r="G36" s="9" t="s">
        <v>613</v>
      </c>
      <c r="H36" s="9" t="s">
        <v>1591</v>
      </c>
    </row>
    <row r="37" spans="1:8" s="9" customFormat="1" x14ac:dyDescent="0.25">
      <c r="A37" s="3" t="s">
        <v>9</v>
      </c>
      <c r="B37" s="9" t="s">
        <v>614</v>
      </c>
      <c r="C37" s="9" t="s">
        <v>62</v>
      </c>
      <c r="D37" s="9" t="s">
        <v>611</v>
      </c>
      <c r="E37" s="15">
        <f>(1234+2373)/5280</f>
        <v>0.68314393939393936</v>
      </c>
      <c r="F37" s="9" t="s">
        <v>609</v>
      </c>
      <c r="G37" s="9" t="s">
        <v>615</v>
      </c>
      <c r="H37" s="9" t="s">
        <v>1591</v>
      </c>
    </row>
    <row r="38" spans="1:8" s="21" customFormat="1" x14ac:dyDescent="0.25">
      <c r="A38" s="20" t="s">
        <v>9</v>
      </c>
      <c r="B38" s="21" t="s">
        <v>1571</v>
      </c>
      <c r="C38" s="21" t="s">
        <v>43</v>
      </c>
      <c r="D38" s="21" t="s">
        <v>49</v>
      </c>
      <c r="E38" s="22" t="s">
        <v>455</v>
      </c>
      <c r="F38" s="21" t="s">
        <v>1570</v>
      </c>
      <c r="G38" s="21" t="s">
        <v>1572</v>
      </c>
      <c r="H38" s="21" t="s">
        <v>1591</v>
      </c>
    </row>
    <row r="39" spans="1:8" s="21" customFormat="1" x14ac:dyDescent="0.25">
      <c r="A39" s="20" t="s">
        <v>9</v>
      </c>
      <c r="B39" s="21" t="s">
        <v>1578</v>
      </c>
      <c r="C39" s="21" t="s">
        <v>43</v>
      </c>
      <c r="D39" s="21" t="s">
        <v>1576</v>
      </c>
      <c r="E39" s="22" t="s">
        <v>455</v>
      </c>
      <c r="F39" s="21" t="s">
        <v>551</v>
      </c>
      <c r="G39" s="21" t="s">
        <v>1573</v>
      </c>
      <c r="H39" s="21" t="s">
        <v>1591</v>
      </c>
    </row>
    <row r="40" spans="1:8" s="21" customFormat="1" x14ac:dyDescent="0.25">
      <c r="A40" s="20" t="s">
        <v>9</v>
      </c>
      <c r="B40" s="21" t="s">
        <v>1577</v>
      </c>
      <c r="C40" s="21" t="s">
        <v>43</v>
      </c>
      <c r="D40" s="21" t="s">
        <v>1576</v>
      </c>
      <c r="E40" s="22" t="s">
        <v>455</v>
      </c>
      <c r="F40" s="21" t="s">
        <v>1574</v>
      </c>
      <c r="G40" s="21" t="s">
        <v>1575</v>
      </c>
      <c r="H40" s="21" t="s">
        <v>1591</v>
      </c>
    </row>
    <row r="41" spans="1:8" s="21" customFormat="1" x14ac:dyDescent="0.25">
      <c r="A41" s="20" t="s">
        <v>9</v>
      </c>
      <c r="B41" s="21" t="s">
        <v>1579</v>
      </c>
      <c r="C41" s="21" t="s">
        <v>43</v>
      </c>
      <c r="D41" s="21" t="s">
        <v>1576</v>
      </c>
      <c r="E41" s="22" t="s">
        <v>455</v>
      </c>
      <c r="F41" s="21" t="s">
        <v>1580</v>
      </c>
      <c r="G41" s="21" t="s">
        <v>1581</v>
      </c>
      <c r="H41" s="21" t="s">
        <v>1591</v>
      </c>
    </row>
    <row r="42" spans="1:8" s="21" customFormat="1" x14ac:dyDescent="0.25">
      <c r="A42" s="20" t="s">
        <v>9</v>
      </c>
      <c r="B42" s="21" t="s">
        <v>1583</v>
      </c>
      <c r="C42" s="21" t="s">
        <v>43</v>
      </c>
      <c r="D42" s="21" t="s">
        <v>1582</v>
      </c>
      <c r="E42" s="22" t="s">
        <v>455</v>
      </c>
      <c r="F42" s="21" t="s">
        <v>630</v>
      </c>
      <c r="G42" s="21" t="s">
        <v>1585</v>
      </c>
      <c r="H42" s="21" t="s">
        <v>1591</v>
      </c>
    </row>
    <row r="43" spans="1:8" s="21" customFormat="1" x14ac:dyDescent="0.25">
      <c r="A43" s="20" t="s">
        <v>9</v>
      </c>
      <c r="B43" s="21" t="s">
        <v>1584</v>
      </c>
      <c r="C43" s="21" t="s">
        <v>43</v>
      </c>
      <c r="D43" s="21" t="s">
        <v>1582</v>
      </c>
      <c r="E43" s="22" t="s">
        <v>455</v>
      </c>
      <c r="F43" s="21" t="s">
        <v>1574</v>
      </c>
      <c r="G43" s="21" t="s">
        <v>1586</v>
      </c>
      <c r="H43" s="21" t="s">
        <v>1591</v>
      </c>
    </row>
    <row r="44" spans="1:8" s="21" customFormat="1" x14ac:dyDescent="0.25">
      <c r="A44" s="20" t="s">
        <v>9</v>
      </c>
      <c r="B44" s="21" t="s">
        <v>617</v>
      </c>
      <c r="C44" s="21" t="s">
        <v>43</v>
      </c>
      <c r="D44" s="21" t="s">
        <v>616</v>
      </c>
      <c r="E44" s="22" t="s">
        <v>455</v>
      </c>
      <c r="F44" s="21" t="s">
        <v>622</v>
      </c>
      <c r="G44" s="21" t="s">
        <v>619</v>
      </c>
      <c r="H44" s="21" t="s">
        <v>1591</v>
      </c>
    </row>
    <row r="45" spans="1:8" s="21" customFormat="1" x14ac:dyDescent="0.25">
      <c r="A45" s="20" t="s">
        <v>9</v>
      </c>
      <c r="B45" s="23" t="s">
        <v>618</v>
      </c>
      <c r="C45" s="21" t="s">
        <v>43</v>
      </c>
      <c r="D45" s="21" t="s">
        <v>616</v>
      </c>
      <c r="E45" s="22" t="s">
        <v>455</v>
      </c>
      <c r="F45" s="21" t="s">
        <v>622</v>
      </c>
      <c r="G45" s="21" t="s">
        <v>620</v>
      </c>
      <c r="H45" s="21" t="s">
        <v>1591</v>
      </c>
    </row>
    <row r="46" spans="1:8" s="21" customFormat="1" x14ac:dyDescent="0.25">
      <c r="A46" s="20" t="s">
        <v>9</v>
      </c>
      <c r="B46" s="21" t="s">
        <v>621</v>
      </c>
      <c r="C46" s="21" t="s">
        <v>43</v>
      </c>
      <c r="D46" s="21" t="s">
        <v>616</v>
      </c>
      <c r="E46" s="22" t="s">
        <v>455</v>
      </c>
      <c r="F46" s="21" t="s">
        <v>623</v>
      </c>
      <c r="G46" s="21" t="s">
        <v>624</v>
      </c>
      <c r="H46" s="21" t="s">
        <v>1591</v>
      </c>
    </row>
    <row r="47" spans="1:8" s="21" customFormat="1" x14ac:dyDescent="0.25">
      <c r="A47" s="20" t="s">
        <v>9</v>
      </c>
      <c r="B47" s="21" t="s">
        <v>625</v>
      </c>
      <c r="C47" s="21" t="s">
        <v>43</v>
      </c>
      <c r="D47" s="21" t="s">
        <v>616</v>
      </c>
      <c r="E47" s="22" t="s">
        <v>455</v>
      </c>
      <c r="F47" s="21" t="s">
        <v>541</v>
      </c>
      <c r="G47" s="21" t="s">
        <v>626</v>
      </c>
      <c r="H47" s="21" t="s">
        <v>1591</v>
      </c>
    </row>
    <row r="48" spans="1:8" s="9" customFormat="1" x14ac:dyDescent="0.25">
      <c r="A48" s="7" t="s">
        <v>9</v>
      </c>
      <c r="B48" s="11" t="s">
        <v>627</v>
      </c>
      <c r="C48" s="11" t="s">
        <v>43</v>
      </c>
      <c r="D48" s="11" t="s">
        <v>49</v>
      </c>
      <c r="E48" s="15">
        <v>1.26</v>
      </c>
      <c r="F48" s="11" t="s">
        <v>202</v>
      </c>
      <c r="G48" s="11" t="s">
        <v>628</v>
      </c>
      <c r="H48" s="9" t="s">
        <v>1591</v>
      </c>
    </row>
    <row r="49" spans="1:8" s="21" customFormat="1" x14ac:dyDescent="0.25">
      <c r="A49" s="20" t="s">
        <v>9</v>
      </c>
      <c r="B49" s="21" t="s">
        <v>629</v>
      </c>
      <c r="C49" s="21" t="s">
        <v>43</v>
      </c>
      <c r="D49" s="21" t="s">
        <v>616</v>
      </c>
      <c r="E49" s="22" t="s">
        <v>455</v>
      </c>
      <c r="F49" s="21" t="s">
        <v>630</v>
      </c>
      <c r="G49" s="21" t="s">
        <v>631</v>
      </c>
      <c r="H49" s="21" t="s">
        <v>1591</v>
      </c>
    </row>
    <row r="50" spans="1:8" s="9" customFormat="1" x14ac:dyDescent="0.25">
      <c r="A50" s="7" t="s">
        <v>9</v>
      </c>
      <c r="B50" s="11" t="s">
        <v>633</v>
      </c>
      <c r="C50" s="11" t="s">
        <v>31</v>
      </c>
      <c r="D50" s="11" t="s">
        <v>632</v>
      </c>
      <c r="E50" s="15">
        <v>0.22</v>
      </c>
      <c r="F50" s="11" t="s">
        <v>96</v>
      </c>
      <c r="G50" s="11" t="s">
        <v>634</v>
      </c>
      <c r="H50" s="9" t="s">
        <v>1591</v>
      </c>
    </row>
    <row r="51" spans="1:8" s="9" customFormat="1" x14ac:dyDescent="0.25">
      <c r="A51" s="7" t="s">
        <v>9</v>
      </c>
      <c r="B51" s="11" t="s">
        <v>635</v>
      </c>
      <c r="C51" s="11" t="s">
        <v>31</v>
      </c>
      <c r="D51" s="11" t="s">
        <v>632</v>
      </c>
      <c r="E51" s="15">
        <v>0.16</v>
      </c>
      <c r="F51" s="11" t="s">
        <v>96</v>
      </c>
      <c r="H51" s="9" t="s">
        <v>1591</v>
      </c>
    </row>
    <row r="52" spans="1:8" s="9" customFormat="1" x14ac:dyDescent="0.25">
      <c r="A52" s="3" t="s">
        <v>9</v>
      </c>
      <c r="B52" s="9" t="s">
        <v>30</v>
      </c>
      <c r="C52" s="9" t="s">
        <v>43</v>
      </c>
      <c r="D52" s="9" t="s">
        <v>32</v>
      </c>
      <c r="E52" s="30">
        <v>0.52</v>
      </c>
      <c r="F52" s="11" t="s">
        <v>125</v>
      </c>
      <c r="G52" s="9" t="s">
        <v>636</v>
      </c>
      <c r="H52" s="9" t="s">
        <v>1591</v>
      </c>
    </row>
    <row r="53" spans="1:8" s="21" customFormat="1" x14ac:dyDescent="0.25">
      <c r="A53" s="20" t="s">
        <v>9</v>
      </c>
      <c r="B53" s="21" t="s">
        <v>637</v>
      </c>
      <c r="C53" s="21" t="s">
        <v>43</v>
      </c>
      <c r="D53" s="21" t="s">
        <v>42</v>
      </c>
      <c r="E53" s="24" t="s">
        <v>455</v>
      </c>
      <c r="F53" s="21" t="s">
        <v>638</v>
      </c>
      <c r="G53" s="21" t="s">
        <v>639</v>
      </c>
      <c r="H53" s="21" t="s">
        <v>1591</v>
      </c>
    </row>
    <row r="54" spans="1:8" s="9" customFormat="1" x14ac:dyDescent="0.25">
      <c r="A54" s="3" t="s">
        <v>9</v>
      </c>
      <c r="B54" s="9" t="s">
        <v>640</v>
      </c>
      <c r="C54" s="9" t="s">
        <v>43</v>
      </c>
      <c r="D54" s="9" t="s">
        <v>42</v>
      </c>
      <c r="E54" s="30">
        <v>0.22</v>
      </c>
      <c r="F54" s="11" t="s">
        <v>96</v>
      </c>
      <c r="G54" s="11" t="s">
        <v>641</v>
      </c>
      <c r="H54" s="9" t="s">
        <v>1591</v>
      </c>
    </row>
    <row r="55" spans="1:8" s="21" customFormat="1" x14ac:dyDescent="0.25">
      <c r="A55" s="20" t="s">
        <v>9</v>
      </c>
      <c r="B55" s="21" t="s">
        <v>642</v>
      </c>
      <c r="C55" s="21" t="s">
        <v>43</v>
      </c>
      <c r="D55" s="21" t="s">
        <v>42</v>
      </c>
      <c r="E55" s="24" t="s">
        <v>455</v>
      </c>
      <c r="F55" s="21" t="s">
        <v>643</v>
      </c>
      <c r="G55" s="21" t="s">
        <v>644</v>
      </c>
      <c r="H55" s="21" t="s">
        <v>1591</v>
      </c>
    </row>
    <row r="56" spans="1:8" s="21" customFormat="1" x14ac:dyDescent="0.25">
      <c r="A56" s="20" t="s">
        <v>9</v>
      </c>
      <c r="B56" s="21" t="s">
        <v>645</v>
      </c>
      <c r="C56" s="21" t="s">
        <v>43</v>
      </c>
      <c r="D56" s="21" t="s">
        <v>42</v>
      </c>
      <c r="E56" s="24" t="s">
        <v>455</v>
      </c>
      <c r="F56" s="21" t="s">
        <v>646</v>
      </c>
      <c r="G56" s="21" t="s">
        <v>647</v>
      </c>
      <c r="H56" s="21" t="s">
        <v>1591</v>
      </c>
    </row>
    <row r="57" spans="1:8" s="9" customFormat="1" x14ac:dyDescent="0.25">
      <c r="A57" s="3" t="s">
        <v>9</v>
      </c>
      <c r="B57" s="9" t="s">
        <v>41</v>
      </c>
      <c r="C57" s="9" t="s">
        <v>43</v>
      </c>
      <c r="D57" s="9" t="s">
        <v>42</v>
      </c>
      <c r="E57" s="15">
        <f>3609/5280</f>
        <v>0.68352272727272723</v>
      </c>
      <c r="F57" s="11" t="s">
        <v>125</v>
      </c>
      <c r="G57" s="11" t="s">
        <v>648</v>
      </c>
      <c r="H57" s="9" t="s">
        <v>1591</v>
      </c>
    </row>
    <row r="58" spans="1:8" s="21" customFormat="1" x14ac:dyDescent="0.25">
      <c r="A58" s="20" t="s">
        <v>9</v>
      </c>
      <c r="B58" s="21" t="s">
        <v>649</v>
      </c>
      <c r="C58" s="21" t="s">
        <v>43</v>
      </c>
      <c r="D58" s="21" t="s">
        <v>42</v>
      </c>
      <c r="E58" s="24" t="s">
        <v>455</v>
      </c>
      <c r="F58" s="21" t="s">
        <v>650</v>
      </c>
      <c r="G58" s="21" t="s">
        <v>651</v>
      </c>
      <c r="H58" s="21" t="s">
        <v>1591</v>
      </c>
    </row>
    <row r="59" spans="1:8" s="9" customFormat="1" x14ac:dyDescent="0.25">
      <c r="A59" s="3" t="s">
        <v>9</v>
      </c>
      <c r="B59" s="9" t="s">
        <v>652</v>
      </c>
      <c r="C59" s="9" t="s">
        <v>43</v>
      </c>
      <c r="D59" s="9" t="s">
        <v>653</v>
      </c>
      <c r="E59" s="4">
        <f>0.35+0.29</f>
        <v>0.6399999999999999</v>
      </c>
      <c r="F59" s="11" t="s">
        <v>654</v>
      </c>
      <c r="G59" s="11" t="s">
        <v>655</v>
      </c>
      <c r="H59" s="9" t="s">
        <v>1591</v>
      </c>
    </row>
    <row r="60" spans="1:8" s="21" customFormat="1" x14ac:dyDescent="0.25">
      <c r="A60" s="20" t="s">
        <v>9</v>
      </c>
      <c r="B60" s="21" t="s">
        <v>656</v>
      </c>
      <c r="C60" s="21" t="s">
        <v>43</v>
      </c>
      <c r="D60" s="21" t="s">
        <v>653</v>
      </c>
      <c r="E60" s="24" t="s">
        <v>455</v>
      </c>
      <c r="F60" s="21" t="s">
        <v>657</v>
      </c>
      <c r="G60" s="21" t="s">
        <v>661</v>
      </c>
      <c r="H60" s="21" t="s">
        <v>1591</v>
      </c>
    </row>
    <row r="61" spans="1:8" s="21" customFormat="1" x14ac:dyDescent="0.25">
      <c r="A61" s="20" t="s">
        <v>9</v>
      </c>
      <c r="B61" s="21" t="s">
        <v>658</v>
      </c>
      <c r="C61" s="21" t="s">
        <v>43</v>
      </c>
      <c r="D61" s="21" t="s">
        <v>653</v>
      </c>
      <c r="E61" s="24" t="s">
        <v>455</v>
      </c>
      <c r="F61" s="21" t="s">
        <v>659</v>
      </c>
      <c r="G61" s="21" t="s">
        <v>660</v>
      </c>
      <c r="H61" s="21" t="s">
        <v>1591</v>
      </c>
    </row>
    <row r="62" spans="1:8" s="9" customFormat="1" x14ac:dyDescent="0.25">
      <c r="A62" s="3" t="s">
        <v>9</v>
      </c>
      <c r="B62" s="9" t="s">
        <v>662</v>
      </c>
      <c r="C62" s="9" t="s">
        <v>43</v>
      </c>
      <c r="D62" s="9" t="s">
        <v>653</v>
      </c>
      <c r="E62" s="4">
        <v>7.0000000000000007E-2</v>
      </c>
      <c r="F62" s="11" t="s">
        <v>663</v>
      </c>
      <c r="G62" s="11" t="s">
        <v>664</v>
      </c>
      <c r="H62" s="9" t="s">
        <v>1591</v>
      </c>
    </row>
    <row r="63" spans="1:8" s="9" customFormat="1" x14ac:dyDescent="0.25">
      <c r="A63" s="3" t="s">
        <v>9</v>
      </c>
      <c r="B63" s="9" t="s">
        <v>665</v>
      </c>
      <c r="C63" s="9" t="s">
        <v>43</v>
      </c>
      <c r="D63" s="9" t="s">
        <v>666</v>
      </c>
      <c r="E63" s="4">
        <v>3.86</v>
      </c>
      <c r="F63" s="11" t="s">
        <v>202</v>
      </c>
      <c r="G63" s="11" t="s">
        <v>667</v>
      </c>
      <c r="H63" s="9" t="s">
        <v>1591</v>
      </c>
    </row>
    <row r="64" spans="1:8" s="9" customFormat="1" x14ac:dyDescent="0.25">
      <c r="A64" s="3" t="s">
        <v>9</v>
      </c>
      <c r="B64" s="9" t="s">
        <v>44</v>
      </c>
      <c r="C64" s="9" t="s">
        <v>43</v>
      </c>
      <c r="D64" s="9" t="s">
        <v>45</v>
      </c>
      <c r="E64" s="4">
        <v>3.09</v>
      </c>
      <c r="F64" s="11" t="s">
        <v>202</v>
      </c>
      <c r="G64" s="9" t="s">
        <v>668</v>
      </c>
      <c r="H64" s="9" t="s">
        <v>1591</v>
      </c>
    </row>
    <row r="65" spans="1:8" s="9" customFormat="1" x14ac:dyDescent="0.25">
      <c r="A65" s="3" t="s">
        <v>9</v>
      </c>
      <c r="B65" s="9" t="s">
        <v>669</v>
      </c>
      <c r="C65" s="9" t="s">
        <v>43</v>
      </c>
      <c r="D65" s="9" t="s">
        <v>45</v>
      </c>
      <c r="E65" s="4">
        <v>0.15</v>
      </c>
      <c r="F65" s="11" t="s">
        <v>670</v>
      </c>
      <c r="G65" s="11" t="s">
        <v>671</v>
      </c>
      <c r="H65" s="9" t="s">
        <v>1591</v>
      </c>
    </row>
    <row r="66" spans="1:8" s="9" customFormat="1" x14ac:dyDescent="0.25">
      <c r="A66" s="3" t="s">
        <v>9</v>
      </c>
      <c r="B66" s="9" t="s">
        <v>672</v>
      </c>
      <c r="C66" s="9" t="s">
        <v>43</v>
      </c>
      <c r="D66" s="9" t="s">
        <v>673</v>
      </c>
      <c r="E66" s="4">
        <v>0.16</v>
      </c>
      <c r="F66" s="11" t="s">
        <v>674</v>
      </c>
      <c r="G66" s="11" t="s">
        <v>675</v>
      </c>
      <c r="H66" s="9" t="s">
        <v>1591</v>
      </c>
    </row>
    <row r="67" spans="1:8" s="9" customFormat="1" x14ac:dyDescent="0.25">
      <c r="A67" s="3" t="s">
        <v>9</v>
      </c>
      <c r="B67" s="9" t="s">
        <v>46</v>
      </c>
      <c r="C67" s="9" t="s">
        <v>43</v>
      </c>
      <c r="D67" s="9" t="s">
        <v>49</v>
      </c>
      <c r="E67" s="4">
        <v>0.22</v>
      </c>
      <c r="F67" s="9" t="s">
        <v>47</v>
      </c>
      <c r="G67" s="11" t="s">
        <v>532</v>
      </c>
      <c r="H67" s="9" t="s">
        <v>1591</v>
      </c>
    </row>
    <row r="68" spans="1:8" s="9" customFormat="1" x14ac:dyDescent="0.25">
      <c r="A68" s="3" t="s">
        <v>9</v>
      </c>
      <c r="B68" s="9" t="s">
        <v>677</v>
      </c>
      <c r="C68" s="9" t="s">
        <v>43</v>
      </c>
      <c r="D68" s="9" t="s">
        <v>676</v>
      </c>
      <c r="E68" s="4">
        <v>0.37</v>
      </c>
      <c r="F68" s="9" t="s">
        <v>75</v>
      </c>
      <c r="G68" s="11" t="s">
        <v>678</v>
      </c>
      <c r="H68" s="9" t="s">
        <v>1591</v>
      </c>
    </row>
    <row r="69" spans="1:8" s="21" customFormat="1" x14ac:dyDescent="0.25">
      <c r="A69" s="20" t="s">
        <v>9</v>
      </c>
      <c r="B69" s="21" t="s">
        <v>679</v>
      </c>
      <c r="C69" s="21" t="s">
        <v>54</v>
      </c>
      <c r="D69" s="21" t="s">
        <v>680</v>
      </c>
      <c r="E69" s="24" t="s">
        <v>455</v>
      </c>
      <c r="F69" s="21" t="s">
        <v>681</v>
      </c>
      <c r="G69" s="21" t="s">
        <v>682</v>
      </c>
      <c r="H69" s="21" t="s">
        <v>1591</v>
      </c>
    </row>
    <row r="70" spans="1:8" s="9" customFormat="1" x14ac:dyDescent="0.25">
      <c r="A70" s="3" t="s">
        <v>9</v>
      </c>
      <c r="B70" s="9" t="s">
        <v>48</v>
      </c>
      <c r="C70" s="9" t="s">
        <v>54</v>
      </c>
      <c r="D70" s="9" t="s">
        <v>49</v>
      </c>
      <c r="E70" s="4">
        <v>0.44</v>
      </c>
      <c r="F70" s="9" t="s">
        <v>202</v>
      </c>
      <c r="G70" s="9" t="s">
        <v>50</v>
      </c>
      <c r="H70" s="9" t="s">
        <v>1591</v>
      </c>
    </row>
    <row r="71" spans="1:8" s="9" customFormat="1" x14ac:dyDescent="0.25">
      <c r="A71" s="3" t="s">
        <v>9</v>
      </c>
      <c r="B71" s="9" t="s">
        <v>847</v>
      </c>
      <c r="C71" s="9" t="s">
        <v>54</v>
      </c>
      <c r="D71" s="9" t="s">
        <v>51</v>
      </c>
      <c r="E71" s="4">
        <v>0.28000000000000003</v>
      </c>
      <c r="F71" s="9" t="s">
        <v>202</v>
      </c>
      <c r="G71" s="9" t="s">
        <v>52</v>
      </c>
      <c r="H71" s="9" t="s">
        <v>1591</v>
      </c>
    </row>
    <row r="72" spans="1:8" s="9" customFormat="1" x14ac:dyDescent="0.25">
      <c r="A72" s="3" t="s">
        <v>9</v>
      </c>
      <c r="B72" s="9" t="s">
        <v>848</v>
      </c>
      <c r="C72" s="9" t="s">
        <v>54</v>
      </c>
      <c r="D72" s="9" t="s">
        <v>51</v>
      </c>
      <c r="E72" s="4">
        <v>0.44</v>
      </c>
      <c r="F72" s="9" t="s">
        <v>202</v>
      </c>
      <c r="G72" s="9" t="s">
        <v>849</v>
      </c>
      <c r="H72" s="9" t="s">
        <v>1591</v>
      </c>
    </row>
    <row r="73" spans="1:8" s="21" customFormat="1" x14ac:dyDescent="0.25">
      <c r="A73" s="20" t="s">
        <v>9</v>
      </c>
      <c r="B73" s="21" t="s">
        <v>850</v>
      </c>
      <c r="C73" s="21" t="s">
        <v>54</v>
      </c>
      <c r="D73" s="21" t="s">
        <v>51</v>
      </c>
      <c r="E73" s="24" t="s">
        <v>455</v>
      </c>
      <c r="F73" s="21" t="s">
        <v>851</v>
      </c>
      <c r="G73" s="21" t="s">
        <v>852</v>
      </c>
      <c r="H73" s="21" t="s">
        <v>1591</v>
      </c>
    </row>
    <row r="74" spans="1:8" s="9" customFormat="1" x14ac:dyDescent="0.25">
      <c r="A74" s="3" t="s">
        <v>9</v>
      </c>
      <c r="B74" s="9" t="s">
        <v>858</v>
      </c>
      <c r="C74" s="9" t="s">
        <v>54</v>
      </c>
      <c r="D74" s="9" t="s">
        <v>9</v>
      </c>
      <c r="E74" s="4">
        <v>0.83</v>
      </c>
      <c r="F74" s="9" t="s">
        <v>859</v>
      </c>
      <c r="G74" s="9" t="s">
        <v>860</v>
      </c>
      <c r="H74" s="9" t="s">
        <v>1591</v>
      </c>
    </row>
    <row r="75" spans="1:8" s="21" customFormat="1" x14ac:dyDescent="0.25">
      <c r="A75" s="20" t="s">
        <v>9</v>
      </c>
      <c r="B75" s="21" t="s">
        <v>856</v>
      </c>
      <c r="C75" s="21" t="s">
        <v>54</v>
      </c>
      <c r="D75" s="21" t="s">
        <v>9</v>
      </c>
      <c r="E75" s="24" t="s">
        <v>455</v>
      </c>
      <c r="F75" s="21" t="s">
        <v>857</v>
      </c>
      <c r="G75" s="21" t="s">
        <v>266</v>
      </c>
      <c r="H75" s="21" t="s">
        <v>1591</v>
      </c>
    </row>
    <row r="76" spans="1:8" s="21" customFormat="1" x14ac:dyDescent="0.25">
      <c r="A76" s="20" t="s">
        <v>9</v>
      </c>
      <c r="B76" s="21" t="s">
        <v>854</v>
      </c>
      <c r="C76" s="21" t="s">
        <v>54</v>
      </c>
      <c r="D76" s="21" t="s">
        <v>9</v>
      </c>
      <c r="E76" s="24" t="s">
        <v>455</v>
      </c>
      <c r="F76" s="21" t="s">
        <v>855</v>
      </c>
      <c r="G76" s="21" t="s">
        <v>266</v>
      </c>
      <c r="H76" s="21" t="s">
        <v>1591</v>
      </c>
    </row>
    <row r="77" spans="1:8" s="9" customFormat="1" x14ac:dyDescent="0.25">
      <c r="A77" s="3" t="s">
        <v>9</v>
      </c>
      <c r="B77" s="9" t="s">
        <v>56</v>
      </c>
      <c r="C77" s="9" t="s">
        <v>54</v>
      </c>
      <c r="D77" s="9" t="s">
        <v>57</v>
      </c>
      <c r="E77" s="4">
        <v>6.1</v>
      </c>
      <c r="F77" s="9" t="s">
        <v>202</v>
      </c>
      <c r="G77" s="9" t="s">
        <v>853</v>
      </c>
      <c r="H77" s="9" t="s">
        <v>1591</v>
      </c>
    </row>
    <row r="78" spans="1:8" s="9" customFormat="1" x14ac:dyDescent="0.25">
      <c r="A78" s="3" t="s">
        <v>9</v>
      </c>
      <c r="B78" s="9" t="s">
        <v>861</v>
      </c>
      <c r="C78" s="9" t="s">
        <v>54</v>
      </c>
      <c r="D78" s="9" t="s">
        <v>9</v>
      </c>
      <c r="E78" s="4">
        <v>0.73</v>
      </c>
      <c r="F78" s="9" t="s">
        <v>12</v>
      </c>
      <c r="H78" s="9" t="s">
        <v>1591</v>
      </c>
    </row>
    <row r="79" spans="1:8" s="9" customFormat="1" x14ac:dyDescent="0.25">
      <c r="A79" s="3" t="s">
        <v>9</v>
      </c>
      <c r="B79" s="9" t="s">
        <v>53</v>
      </c>
      <c r="C79" s="9" t="s">
        <v>54</v>
      </c>
      <c r="D79" s="9" t="s">
        <v>55</v>
      </c>
      <c r="E79" s="4">
        <v>0.41</v>
      </c>
      <c r="F79" s="9" t="s">
        <v>202</v>
      </c>
      <c r="G79" s="9" t="s">
        <v>862</v>
      </c>
      <c r="H79" s="9" t="s">
        <v>1591</v>
      </c>
    </row>
    <row r="80" spans="1:8" s="9" customFormat="1" x14ac:dyDescent="0.25">
      <c r="A80" s="3" t="s">
        <v>9</v>
      </c>
      <c r="B80" s="9" t="s">
        <v>863</v>
      </c>
      <c r="C80" s="9" t="s">
        <v>54</v>
      </c>
      <c r="D80" s="9" t="s">
        <v>55</v>
      </c>
      <c r="E80" s="4">
        <v>0.26</v>
      </c>
      <c r="F80" s="9" t="s">
        <v>202</v>
      </c>
      <c r="H80" s="9" t="s">
        <v>1591</v>
      </c>
    </row>
    <row r="81" spans="1:8" x14ac:dyDescent="0.25">
      <c r="A81" s="3" t="s">
        <v>9</v>
      </c>
      <c r="B81" s="9" t="s">
        <v>864</v>
      </c>
      <c r="C81" s="9" t="s">
        <v>54</v>
      </c>
      <c r="D81" s="9" t="s">
        <v>55</v>
      </c>
      <c r="E81" s="4">
        <v>0.19</v>
      </c>
      <c r="F81" s="9" t="s">
        <v>202</v>
      </c>
      <c r="G81" s="9" t="s">
        <v>865</v>
      </c>
      <c r="H81" s="9" t="s">
        <v>1591</v>
      </c>
    </row>
    <row r="82" spans="1:8" s="9" customFormat="1" x14ac:dyDescent="0.25">
      <c r="A82" s="3" t="s">
        <v>9</v>
      </c>
      <c r="B82" s="9" t="s">
        <v>58</v>
      </c>
      <c r="C82" s="9" t="s">
        <v>54</v>
      </c>
      <c r="D82" s="9" t="s">
        <v>55</v>
      </c>
      <c r="E82" s="4">
        <v>0.17</v>
      </c>
      <c r="F82" s="9" t="s">
        <v>202</v>
      </c>
      <c r="G82" s="9" t="s">
        <v>866</v>
      </c>
      <c r="H82" s="9" t="s">
        <v>1591</v>
      </c>
    </row>
    <row r="83" spans="1:8" s="9" customFormat="1" x14ac:dyDescent="0.25">
      <c r="A83" s="3" t="s">
        <v>9</v>
      </c>
      <c r="B83" s="9" t="s">
        <v>867</v>
      </c>
      <c r="C83" s="9" t="s">
        <v>54</v>
      </c>
      <c r="D83" s="9" t="s">
        <v>9</v>
      </c>
      <c r="E83" s="4">
        <v>0.11</v>
      </c>
      <c r="F83" s="9" t="s">
        <v>96</v>
      </c>
      <c r="G83" s="9" t="s">
        <v>868</v>
      </c>
      <c r="H83" s="9" t="s">
        <v>1591</v>
      </c>
    </row>
    <row r="84" spans="1:8" x14ac:dyDescent="0.25">
      <c r="A84" s="3" t="s">
        <v>9</v>
      </c>
      <c r="B84" s="7" t="s">
        <v>869</v>
      </c>
      <c r="C84" s="9" t="s">
        <v>54</v>
      </c>
      <c r="D84" s="9" t="s">
        <v>9</v>
      </c>
      <c r="E84" s="4">
        <v>0.64</v>
      </c>
      <c r="F84" s="9" t="s">
        <v>870</v>
      </c>
      <c r="H84" s="9" t="s">
        <v>1591</v>
      </c>
    </row>
    <row r="85" spans="1:8" s="9" customFormat="1" x14ac:dyDescent="0.25">
      <c r="A85" s="3" t="s">
        <v>9</v>
      </c>
      <c r="B85" s="7" t="s">
        <v>871</v>
      </c>
      <c r="C85" s="9" t="s">
        <v>54</v>
      </c>
      <c r="D85" s="9" t="s">
        <v>874</v>
      </c>
      <c r="E85" s="4">
        <v>0.51</v>
      </c>
      <c r="F85" s="9" t="s">
        <v>75</v>
      </c>
      <c r="H85" s="9" t="s">
        <v>1591</v>
      </c>
    </row>
    <row r="86" spans="1:8" s="9" customFormat="1" x14ac:dyDescent="0.25">
      <c r="A86" s="3" t="s">
        <v>9</v>
      </c>
      <c r="B86" s="7" t="s">
        <v>873</v>
      </c>
      <c r="C86" s="9" t="s">
        <v>54</v>
      </c>
      <c r="D86" s="9" t="s">
        <v>872</v>
      </c>
      <c r="E86" s="4">
        <v>0.28999999999999998</v>
      </c>
      <c r="F86" s="9" t="s">
        <v>202</v>
      </c>
      <c r="G86" s="9" t="s">
        <v>875</v>
      </c>
      <c r="H86" s="9" t="s">
        <v>1591</v>
      </c>
    </row>
    <row r="87" spans="1:8" s="21" customFormat="1" x14ac:dyDescent="0.25">
      <c r="A87" s="20" t="s">
        <v>9</v>
      </c>
      <c r="B87" s="20" t="s">
        <v>876</v>
      </c>
      <c r="C87" s="21" t="s">
        <v>54</v>
      </c>
      <c r="D87" s="21" t="s">
        <v>9</v>
      </c>
      <c r="E87" s="24" t="s">
        <v>455</v>
      </c>
      <c r="F87" s="21" t="s">
        <v>877</v>
      </c>
      <c r="G87" s="21" t="s">
        <v>878</v>
      </c>
      <c r="H87" s="21" t="s">
        <v>1591</v>
      </c>
    </row>
    <row r="88" spans="1:8" s="21" customFormat="1" x14ac:dyDescent="0.25">
      <c r="A88" s="20" t="s">
        <v>9</v>
      </c>
      <c r="B88" s="20" t="s">
        <v>879</v>
      </c>
      <c r="C88" s="21" t="s">
        <v>54</v>
      </c>
      <c r="D88" s="21" t="s">
        <v>9</v>
      </c>
      <c r="E88" s="24" t="s">
        <v>455</v>
      </c>
      <c r="F88" s="21" t="s">
        <v>880</v>
      </c>
      <c r="G88" s="21" t="s">
        <v>881</v>
      </c>
      <c r="H88" s="21" t="s">
        <v>1591</v>
      </c>
    </row>
    <row r="89" spans="1:8" s="9" customFormat="1" x14ac:dyDescent="0.25">
      <c r="A89" s="3" t="s">
        <v>9</v>
      </c>
      <c r="B89" s="7" t="s">
        <v>882</v>
      </c>
      <c r="C89" s="9" t="s">
        <v>54</v>
      </c>
      <c r="D89" s="9" t="s">
        <v>872</v>
      </c>
      <c r="E89" s="4">
        <v>0.06</v>
      </c>
      <c r="F89" s="9" t="s">
        <v>883</v>
      </c>
      <c r="G89" s="9" t="s">
        <v>884</v>
      </c>
      <c r="H89" s="9" t="s">
        <v>1591</v>
      </c>
    </row>
    <row r="90" spans="1:8" s="21" customFormat="1" x14ac:dyDescent="0.25">
      <c r="A90" s="20" t="s">
        <v>9</v>
      </c>
      <c r="B90" s="20" t="s">
        <v>885</v>
      </c>
      <c r="C90" s="21" t="s">
        <v>54</v>
      </c>
      <c r="D90" s="21" t="s">
        <v>9</v>
      </c>
      <c r="E90" s="24" t="s">
        <v>455</v>
      </c>
      <c r="F90" s="21" t="s">
        <v>886</v>
      </c>
      <c r="G90" s="21" t="s">
        <v>266</v>
      </c>
      <c r="H90" s="21" t="s">
        <v>1591</v>
      </c>
    </row>
    <row r="91" spans="1:8" s="21" customFormat="1" x14ac:dyDescent="0.25">
      <c r="A91" s="20" t="s">
        <v>9</v>
      </c>
      <c r="B91" s="20" t="s">
        <v>887</v>
      </c>
      <c r="C91" s="21" t="s">
        <v>54</v>
      </c>
      <c r="D91" s="21" t="s">
        <v>9</v>
      </c>
      <c r="E91" s="24" t="s">
        <v>455</v>
      </c>
      <c r="F91" s="21" t="s">
        <v>565</v>
      </c>
      <c r="G91" s="21" t="s">
        <v>266</v>
      </c>
      <c r="H91" s="21" t="s">
        <v>1591</v>
      </c>
    </row>
    <row r="92" spans="1:8" s="21" customFormat="1" x14ac:dyDescent="0.25">
      <c r="A92" s="20" t="s">
        <v>9</v>
      </c>
      <c r="B92" s="20" t="s">
        <v>888</v>
      </c>
      <c r="C92" s="21" t="s">
        <v>54</v>
      </c>
      <c r="D92" s="21" t="s">
        <v>9</v>
      </c>
      <c r="E92" s="24" t="s">
        <v>455</v>
      </c>
      <c r="F92" s="21" t="s">
        <v>643</v>
      </c>
      <c r="G92" s="21" t="s">
        <v>889</v>
      </c>
      <c r="H92" s="21" t="s">
        <v>1591</v>
      </c>
    </row>
    <row r="93" spans="1:8" s="21" customFormat="1" x14ac:dyDescent="0.25">
      <c r="A93" s="20" t="s">
        <v>9</v>
      </c>
      <c r="B93" s="20" t="s">
        <v>890</v>
      </c>
      <c r="C93" s="21" t="s">
        <v>54</v>
      </c>
      <c r="D93" s="21" t="s">
        <v>9</v>
      </c>
      <c r="E93" s="24" t="s">
        <v>455</v>
      </c>
      <c r="F93" s="21" t="s">
        <v>891</v>
      </c>
      <c r="G93" s="21" t="s">
        <v>266</v>
      </c>
      <c r="H93" s="21" t="s">
        <v>1591</v>
      </c>
    </row>
    <row r="94" spans="1:8" s="9" customFormat="1" x14ac:dyDescent="0.25">
      <c r="A94" s="3" t="s">
        <v>9</v>
      </c>
      <c r="B94" s="7" t="s">
        <v>892</v>
      </c>
      <c r="C94" s="11" t="s">
        <v>54</v>
      </c>
      <c r="D94" s="11" t="s">
        <v>9</v>
      </c>
      <c r="E94" s="4">
        <v>0.22</v>
      </c>
      <c r="F94" s="11" t="s">
        <v>96</v>
      </c>
      <c r="G94" s="11" t="s">
        <v>893</v>
      </c>
      <c r="H94" s="9" t="s">
        <v>1591</v>
      </c>
    </row>
    <row r="95" spans="1:8" s="9" customFormat="1" x14ac:dyDescent="0.25">
      <c r="A95" s="3" t="s">
        <v>9</v>
      </c>
      <c r="B95" s="7" t="s">
        <v>894</v>
      </c>
      <c r="C95" s="11" t="s">
        <v>54</v>
      </c>
      <c r="D95" s="11" t="s">
        <v>9</v>
      </c>
      <c r="E95" s="4">
        <v>0.12</v>
      </c>
      <c r="F95" s="11" t="s">
        <v>96</v>
      </c>
      <c r="G95" s="11"/>
      <c r="H95" s="9" t="s">
        <v>1591</v>
      </c>
    </row>
    <row r="96" spans="1:8" s="21" customFormat="1" x14ac:dyDescent="0.25">
      <c r="A96" s="20" t="s">
        <v>9</v>
      </c>
      <c r="B96" s="20" t="s">
        <v>896</v>
      </c>
      <c r="C96" s="21" t="s">
        <v>54</v>
      </c>
      <c r="D96" s="21" t="s">
        <v>9</v>
      </c>
      <c r="E96" s="24" t="s">
        <v>455</v>
      </c>
      <c r="F96" s="21" t="s">
        <v>895</v>
      </c>
      <c r="H96" s="21" t="s">
        <v>1591</v>
      </c>
    </row>
    <row r="97" spans="1:8" s="9" customFormat="1" x14ac:dyDescent="0.25">
      <c r="A97" s="3" t="s">
        <v>9</v>
      </c>
      <c r="B97" s="7" t="s">
        <v>59</v>
      </c>
      <c r="C97" s="9" t="s">
        <v>54</v>
      </c>
      <c r="D97" s="9" t="s">
        <v>49</v>
      </c>
      <c r="E97" s="4">
        <f>0.25+0.54</f>
        <v>0.79</v>
      </c>
      <c r="F97" s="11" t="s">
        <v>47</v>
      </c>
      <c r="G97" s="11" t="s">
        <v>897</v>
      </c>
      <c r="H97" s="9" t="s">
        <v>1591</v>
      </c>
    </row>
    <row r="98" spans="1:8" s="9" customFormat="1" x14ac:dyDescent="0.25">
      <c r="A98" s="3" t="s">
        <v>9</v>
      </c>
      <c r="B98" s="7" t="s">
        <v>898</v>
      </c>
      <c r="C98" s="11" t="s">
        <v>54</v>
      </c>
      <c r="D98" s="11" t="s">
        <v>9</v>
      </c>
      <c r="E98" s="4">
        <v>0.11</v>
      </c>
      <c r="F98" s="11" t="s">
        <v>96</v>
      </c>
      <c r="G98" s="11" t="s">
        <v>899</v>
      </c>
      <c r="H98" s="9" t="s">
        <v>1591</v>
      </c>
    </row>
    <row r="99" spans="1:8" s="9" customFormat="1" x14ac:dyDescent="0.25">
      <c r="A99" s="3" t="s">
        <v>9</v>
      </c>
      <c r="B99" s="7" t="s">
        <v>900</v>
      </c>
      <c r="C99" s="11" t="s">
        <v>54</v>
      </c>
      <c r="D99" s="11" t="s">
        <v>9</v>
      </c>
      <c r="E99" s="4">
        <v>0.17</v>
      </c>
      <c r="F99" s="11" t="s">
        <v>96</v>
      </c>
      <c r="G99" s="11" t="s">
        <v>901</v>
      </c>
      <c r="H99" s="9" t="s">
        <v>1591</v>
      </c>
    </row>
    <row r="100" spans="1:8" s="9" customFormat="1" x14ac:dyDescent="0.25">
      <c r="A100" s="3" t="s">
        <v>9</v>
      </c>
      <c r="B100" s="7" t="s">
        <v>903</v>
      </c>
      <c r="C100" s="9" t="s">
        <v>54</v>
      </c>
      <c r="D100" s="11" t="s">
        <v>902</v>
      </c>
      <c r="E100" s="15">
        <f>500/5280</f>
        <v>9.4696969696969696E-2</v>
      </c>
      <c r="F100" s="11" t="s">
        <v>202</v>
      </c>
      <c r="G100" s="11" t="s">
        <v>904</v>
      </c>
      <c r="H100" s="9" t="s">
        <v>1591</v>
      </c>
    </row>
    <row r="101" spans="1:8" s="9" customFormat="1" x14ac:dyDescent="0.25">
      <c r="A101" s="3" t="s">
        <v>9</v>
      </c>
      <c r="B101" s="7" t="s">
        <v>906</v>
      </c>
      <c r="C101" s="9" t="s">
        <v>54</v>
      </c>
      <c r="D101" s="11" t="s">
        <v>905</v>
      </c>
      <c r="E101" s="4">
        <v>0.18</v>
      </c>
      <c r="F101" s="11" t="s">
        <v>202</v>
      </c>
      <c r="G101" s="11" t="s">
        <v>907</v>
      </c>
      <c r="H101" s="9" t="s">
        <v>1591</v>
      </c>
    </row>
    <row r="102" spans="1:8" x14ac:dyDescent="0.25">
      <c r="A102" s="3" t="s">
        <v>9</v>
      </c>
      <c r="B102" s="7" t="s">
        <v>908</v>
      </c>
      <c r="C102" s="9" t="s">
        <v>54</v>
      </c>
      <c r="D102" s="11" t="s">
        <v>905</v>
      </c>
      <c r="E102" s="4">
        <v>0.14000000000000001</v>
      </c>
      <c r="F102" s="11" t="s">
        <v>202</v>
      </c>
      <c r="H102" s="9" t="s">
        <v>1591</v>
      </c>
    </row>
    <row r="103" spans="1:8" s="9" customFormat="1" x14ac:dyDescent="0.25">
      <c r="A103" s="3" t="s">
        <v>9</v>
      </c>
      <c r="B103" s="7" t="s">
        <v>909</v>
      </c>
      <c r="C103" s="9" t="s">
        <v>54</v>
      </c>
      <c r="D103" s="11" t="s">
        <v>905</v>
      </c>
      <c r="E103" s="4">
        <v>0.54</v>
      </c>
      <c r="F103" s="11" t="s">
        <v>202</v>
      </c>
      <c r="G103" s="11" t="s">
        <v>910</v>
      </c>
      <c r="H103" s="9" t="s">
        <v>1591</v>
      </c>
    </row>
    <row r="104" spans="1:8" s="21" customFormat="1" x14ac:dyDescent="0.25">
      <c r="A104" s="20" t="s">
        <v>9</v>
      </c>
      <c r="B104" s="20" t="s">
        <v>911</v>
      </c>
      <c r="C104" s="21" t="s">
        <v>54</v>
      </c>
      <c r="D104" s="21" t="s">
        <v>9</v>
      </c>
      <c r="E104" s="24" t="s">
        <v>455</v>
      </c>
      <c r="F104" s="21" t="s">
        <v>912</v>
      </c>
      <c r="G104" s="21" t="s">
        <v>266</v>
      </c>
      <c r="H104" s="21" t="s">
        <v>1591</v>
      </c>
    </row>
    <row r="105" spans="1:8" s="21" customFormat="1" x14ac:dyDescent="0.25">
      <c r="A105" s="20" t="s">
        <v>9</v>
      </c>
      <c r="B105" s="20" t="s">
        <v>913</v>
      </c>
      <c r="C105" s="21" t="s">
        <v>54</v>
      </c>
      <c r="D105" s="21" t="s">
        <v>9</v>
      </c>
      <c r="E105" s="24" t="s">
        <v>455</v>
      </c>
      <c r="F105" s="21" t="s">
        <v>914</v>
      </c>
      <c r="G105" s="21" t="s">
        <v>915</v>
      </c>
      <c r="H105" s="21" t="s">
        <v>1591</v>
      </c>
    </row>
    <row r="106" spans="1:8" s="9" customFormat="1" x14ac:dyDescent="0.25">
      <c r="A106" s="3" t="s">
        <v>9</v>
      </c>
      <c r="B106" s="13" t="s">
        <v>918</v>
      </c>
      <c r="C106" s="9" t="s">
        <v>54</v>
      </c>
      <c r="D106" s="11" t="s">
        <v>916</v>
      </c>
      <c r="E106" s="4">
        <v>0.06</v>
      </c>
      <c r="F106" s="11" t="s">
        <v>917</v>
      </c>
      <c r="G106" s="11" t="s">
        <v>919</v>
      </c>
      <c r="H106" s="9" t="s">
        <v>1591</v>
      </c>
    </row>
    <row r="107" spans="1:8" s="9" customFormat="1" x14ac:dyDescent="0.25">
      <c r="A107" s="3" t="s">
        <v>9</v>
      </c>
      <c r="B107" s="7" t="s">
        <v>921</v>
      </c>
      <c r="C107" s="9" t="s">
        <v>54</v>
      </c>
      <c r="D107" s="11" t="s">
        <v>920</v>
      </c>
      <c r="E107" s="15">
        <v>0.5</v>
      </c>
      <c r="F107" s="11" t="s">
        <v>75</v>
      </c>
      <c r="G107" s="11" t="s">
        <v>922</v>
      </c>
      <c r="H107" s="9" t="s">
        <v>1591</v>
      </c>
    </row>
    <row r="108" spans="1:8" s="9" customFormat="1" x14ac:dyDescent="0.25">
      <c r="A108" s="3" t="s">
        <v>9</v>
      </c>
      <c r="B108" s="7" t="s">
        <v>924</v>
      </c>
      <c r="C108" s="9" t="s">
        <v>54</v>
      </c>
      <c r="D108" s="11" t="s">
        <v>923</v>
      </c>
      <c r="E108" s="4">
        <v>0.27</v>
      </c>
      <c r="F108" s="11" t="s">
        <v>75</v>
      </c>
      <c r="H108" s="9" t="s">
        <v>1591</v>
      </c>
    </row>
    <row r="109" spans="1:8" s="9" customFormat="1" x14ac:dyDescent="0.25">
      <c r="A109" s="3" t="s">
        <v>9</v>
      </c>
      <c r="B109" s="7" t="s">
        <v>927</v>
      </c>
      <c r="C109" s="9" t="s">
        <v>54</v>
      </c>
      <c r="D109" s="11" t="s">
        <v>925</v>
      </c>
      <c r="E109" s="4">
        <v>0.24</v>
      </c>
      <c r="F109" s="11" t="s">
        <v>202</v>
      </c>
      <c r="G109" s="11" t="s">
        <v>926</v>
      </c>
      <c r="H109" s="9" t="s">
        <v>1591</v>
      </c>
    </row>
    <row r="110" spans="1:8" s="9" customFormat="1" x14ac:dyDescent="0.25">
      <c r="A110" s="3" t="s">
        <v>9</v>
      </c>
      <c r="B110" s="7" t="s">
        <v>929</v>
      </c>
      <c r="C110" s="9" t="s">
        <v>54</v>
      </c>
      <c r="D110" s="11" t="s">
        <v>925</v>
      </c>
      <c r="E110" s="4">
        <v>0.22</v>
      </c>
      <c r="F110" s="11" t="s">
        <v>202</v>
      </c>
      <c r="G110" s="11" t="s">
        <v>928</v>
      </c>
      <c r="H110" s="9" t="s">
        <v>1591</v>
      </c>
    </row>
    <row r="111" spans="1:8" s="21" customFormat="1" x14ac:dyDescent="0.25">
      <c r="A111" s="20" t="s">
        <v>9</v>
      </c>
      <c r="B111" s="20" t="s">
        <v>930</v>
      </c>
      <c r="C111" s="21" t="s">
        <v>54</v>
      </c>
      <c r="D111" s="21" t="s">
        <v>9</v>
      </c>
      <c r="E111" s="24" t="s">
        <v>455</v>
      </c>
      <c r="F111" s="21" t="s">
        <v>886</v>
      </c>
      <c r="G111" s="21" t="s">
        <v>931</v>
      </c>
      <c r="H111" s="21" t="s">
        <v>1591</v>
      </c>
    </row>
    <row r="112" spans="1:8" s="9" customFormat="1" x14ac:dyDescent="0.25">
      <c r="A112" s="3" t="s">
        <v>9</v>
      </c>
      <c r="B112" s="9" t="s">
        <v>14</v>
      </c>
      <c r="C112" s="9" t="s">
        <v>54</v>
      </c>
      <c r="D112" s="11" t="s">
        <v>933</v>
      </c>
      <c r="E112" s="15">
        <f>(5373+985+3654+498+8149+1089+3484+1134+24897+28598+146187+45550+13855+10064)/5280</f>
        <v>55.590340909090912</v>
      </c>
      <c r="F112" s="11" t="s">
        <v>936</v>
      </c>
      <c r="G112" s="11" t="s">
        <v>962</v>
      </c>
      <c r="H112" s="9" t="s">
        <v>1591</v>
      </c>
    </row>
    <row r="113" spans="1:8" s="9" customFormat="1" x14ac:dyDescent="0.25">
      <c r="A113" s="3" t="s">
        <v>9</v>
      </c>
      <c r="B113" s="7" t="s">
        <v>932</v>
      </c>
      <c r="C113" s="9" t="s">
        <v>54</v>
      </c>
      <c r="D113" s="11" t="s">
        <v>934</v>
      </c>
      <c r="E113" s="4">
        <v>0.13</v>
      </c>
      <c r="F113" s="9" t="s">
        <v>202</v>
      </c>
      <c r="G113" s="11" t="s">
        <v>935</v>
      </c>
      <c r="H113" s="9" t="s">
        <v>1591</v>
      </c>
    </row>
    <row r="114" spans="1:8" s="21" customFormat="1" x14ac:dyDescent="0.25">
      <c r="A114" s="20" t="s">
        <v>9</v>
      </c>
      <c r="B114" s="20" t="s">
        <v>937</v>
      </c>
      <c r="C114" s="21" t="s">
        <v>54</v>
      </c>
      <c r="D114" s="21" t="s">
        <v>9</v>
      </c>
      <c r="E114" s="24" t="s">
        <v>455</v>
      </c>
      <c r="F114" s="21" t="s">
        <v>938</v>
      </c>
      <c r="G114" s="21" t="s">
        <v>939</v>
      </c>
      <c r="H114" s="21" t="s">
        <v>1591</v>
      </c>
    </row>
    <row r="115" spans="1:8" s="21" customFormat="1" x14ac:dyDescent="0.25">
      <c r="A115" s="20" t="s">
        <v>9</v>
      </c>
      <c r="B115" s="20" t="s">
        <v>940</v>
      </c>
      <c r="C115" s="21" t="s">
        <v>54</v>
      </c>
      <c r="D115" s="21" t="s">
        <v>9</v>
      </c>
      <c r="E115" s="24" t="s">
        <v>455</v>
      </c>
      <c r="F115" s="21" t="s">
        <v>941</v>
      </c>
      <c r="G115" s="21" t="s">
        <v>942</v>
      </c>
      <c r="H115" s="21" t="s">
        <v>1591</v>
      </c>
    </row>
    <row r="116" spans="1:8" s="9" customFormat="1" x14ac:dyDescent="0.25">
      <c r="A116" s="3" t="s">
        <v>9</v>
      </c>
      <c r="B116" s="7" t="s">
        <v>943</v>
      </c>
      <c r="C116" s="9" t="s">
        <v>54</v>
      </c>
      <c r="D116" s="11" t="s">
        <v>9</v>
      </c>
      <c r="E116" s="4">
        <v>0.28000000000000003</v>
      </c>
      <c r="F116" s="9" t="s">
        <v>947</v>
      </c>
      <c r="G116" s="11" t="s">
        <v>944</v>
      </c>
      <c r="H116" s="9" t="s">
        <v>1591</v>
      </c>
    </row>
    <row r="117" spans="1:8" s="21" customFormat="1" x14ac:dyDescent="0.25">
      <c r="A117" s="20" t="s">
        <v>9</v>
      </c>
      <c r="B117" s="20" t="s">
        <v>945</v>
      </c>
      <c r="C117" s="21" t="s">
        <v>54</v>
      </c>
      <c r="D117" s="21" t="s">
        <v>946</v>
      </c>
      <c r="E117" s="24" t="s">
        <v>455</v>
      </c>
      <c r="F117" s="21" t="s">
        <v>948</v>
      </c>
      <c r="G117" s="21" t="s">
        <v>949</v>
      </c>
      <c r="H117" s="21" t="s">
        <v>1591</v>
      </c>
    </row>
    <row r="118" spans="1:8" s="21" customFormat="1" x14ac:dyDescent="0.25">
      <c r="A118" s="20" t="s">
        <v>9</v>
      </c>
      <c r="B118" s="20" t="s">
        <v>950</v>
      </c>
      <c r="C118" s="21" t="s">
        <v>54</v>
      </c>
      <c r="D118" s="21" t="s">
        <v>946</v>
      </c>
      <c r="E118" s="24" t="s">
        <v>455</v>
      </c>
      <c r="F118" s="21" t="s">
        <v>541</v>
      </c>
      <c r="G118" s="21" t="s">
        <v>951</v>
      </c>
      <c r="H118" s="21" t="s">
        <v>1591</v>
      </c>
    </row>
    <row r="119" spans="1:8" s="21" customFormat="1" x14ac:dyDescent="0.25">
      <c r="A119" s="20" t="s">
        <v>9</v>
      </c>
      <c r="B119" s="20" t="s">
        <v>952</v>
      </c>
      <c r="C119" s="21" t="s">
        <v>54</v>
      </c>
      <c r="D119" s="21" t="s">
        <v>946</v>
      </c>
      <c r="E119" s="24" t="s">
        <v>455</v>
      </c>
      <c r="F119" s="21" t="s">
        <v>953</v>
      </c>
      <c r="G119" s="21" t="s">
        <v>954</v>
      </c>
      <c r="H119" s="21" t="s">
        <v>1591</v>
      </c>
    </row>
    <row r="120" spans="1:8" s="21" customFormat="1" x14ac:dyDescent="0.25">
      <c r="A120" s="20" t="s">
        <v>9</v>
      </c>
      <c r="B120" s="20" t="s">
        <v>955</v>
      </c>
      <c r="C120" s="21" t="s">
        <v>54</v>
      </c>
      <c r="D120" s="21" t="s">
        <v>946</v>
      </c>
      <c r="E120" s="24" t="s">
        <v>455</v>
      </c>
      <c r="F120" s="21" t="s">
        <v>953</v>
      </c>
      <c r="G120" s="21" t="s">
        <v>956</v>
      </c>
      <c r="H120" s="21" t="s">
        <v>1591</v>
      </c>
    </row>
    <row r="121" spans="1:8" s="21" customFormat="1" x14ac:dyDescent="0.25">
      <c r="A121" s="20" t="s">
        <v>9</v>
      </c>
      <c r="B121" s="20" t="s">
        <v>958</v>
      </c>
      <c r="C121" s="21" t="s">
        <v>54</v>
      </c>
      <c r="D121" s="21" t="s">
        <v>946</v>
      </c>
      <c r="E121" s="24" t="s">
        <v>455</v>
      </c>
      <c r="F121" s="21" t="s">
        <v>565</v>
      </c>
      <c r="G121" s="21" t="s">
        <v>957</v>
      </c>
      <c r="H121" s="21" t="s">
        <v>1591</v>
      </c>
    </row>
    <row r="122" spans="1:8" s="21" customFormat="1" x14ac:dyDescent="0.25">
      <c r="A122" s="20" t="s">
        <v>9</v>
      </c>
      <c r="B122" s="20" t="s">
        <v>959</v>
      </c>
      <c r="C122" s="21" t="s">
        <v>54</v>
      </c>
      <c r="D122" s="21" t="s">
        <v>946</v>
      </c>
      <c r="E122" s="24" t="s">
        <v>455</v>
      </c>
      <c r="F122" s="21" t="s">
        <v>630</v>
      </c>
      <c r="G122" s="21" t="s">
        <v>960</v>
      </c>
      <c r="H122" s="21" t="s">
        <v>1591</v>
      </c>
    </row>
    <row r="123" spans="1:8" s="9" customFormat="1" x14ac:dyDescent="0.25">
      <c r="A123" s="3" t="s">
        <v>9</v>
      </c>
      <c r="B123" s="9" t="s">
        <v>13</v>
      </c>
      <c r="C123" s="9" t="s">
        <v>54</v>
      </c>
      <c r="D123" s="11" t="s">
        <v>68</v>
      </c>
      <c r="E123" s="15">
        <f>(69391+2346)/5280</f>
        <v>13.58655303030303</v>
      </c>
      <c r="F123" s="11" t="s">
        <v>74</v>
      </c>
      <c r="G123" s="11" t="s">
        <v>961</v>
      </c>
      <c r="H123" s="9" t="s">
        <v>1591</v>
      </c>
    </row>
    <row r="124" spans="1:8" s="9" customFormat="1" x14ac:dyDescent="0.25">
      <c r="A124" s="3" t="s">
        <v>9</v>
      </c>
      <c r="B124" s="7" t="s">
        <v>963</v>
      </c>
      <c r="C124" s="9" t="s">
        <v>54</v>
      </c>
      <c r="D124" s="11" t="s">
        <v>964</v>
      </c>
      <c r="E124" s="4">
        <v>1.27</v>
      </c>
      <c r="F124" s="11" t="s">
        <v>202</v>
      </c>
      <c r="G124" s="11" t="s">
        <v>965</v>
      </c>
      <c r="H124" s="9" t="s">
        <v>1591</v>
      </c>
    </row>
    <row r="125" spans="1:8" s="9" customFormat="1" x14ac:dyDescent="0.25">
      <c r="A125" s="3" t="s">
        <v>9</v>
      </c>
      <c r="B125" s="7" t="s">
        <v>966</v>
      </c>
      <c r="C125" s="9" t="s">
        <v>54</v>
      </c>
      <c r="D125" s="11" t="s">
        <v>964</v>
      </c>
      <c r="E125" s="4">
        <v>0.34</v>
      </c>
      <c r="F125" s="11" t="s">
        <v>202</v>
      </c>
      <c r="H125" s="9" t="s">
        <v>1591</v>
      </c>
    </row>
    <row r="126" spans="1:8" s="9" customFormat="1" x14ac:dyDescent="0.25">
      <c r="A126" s="3" t="s">
        <v>9</v>
      </c>
      <c r="B126" s="7" t="s">
        <v>967</v>
      </c>
      <c r="C126" s="9" t="s">
        <v>54</v>
      </c>
      <c r="D126" s="11" t="s">
        <v>964</v>
      </c>
      <c r="E126" s="4">
        <v>0.51</v>
      </c>
      <c r="F126" s="11" t="s">
        <v>96</v>
      </c>
      <c r="G126" s="9" t="s">
        <v>968</v>
      </c>
      <c r="H126" s="9" t="s">
        <v>1591</v>
      </c>
    </row>
    <row r="127" spans="1:8" s="9" customFormat="1" x14ac:dyDescent="0.25">
      <c r="A127" s="3" t="s">
        <v>9</v>
      </c>
      <c r="B127" s="7" t="s">
        <v>969</v>
      </c>
      <c r="C127" s="9" t="s">
        <v>54</v>
      </c>
      <c r="D127" s="11" t="s">
        <v>964</v>
      </c>
      <c r="E127" s="4">
        <v>0.04</v>
      </c>
      <c r="F127" s="9" t="s">
        <v>96</v>
      </c>
      <c r="G127" s="9" t="s">
        <v>972</v>
      </c>
      <c r="H127" s="9" t="s">
        <v>1591</v>
      </c>
    </row>
    <row r="128" spans="1:8" s="21" customFormat="1" x14ac:dyDescent="0.25">
      <c r="A128" s="20" t="s">
        <v>9</v>
      </c>
      <c r="B128" s="20" t="s">
        <v>973</v>
      </c>
      <c r="C128" s="21" t="s">
        <v>54</v>
      </c>
      <c r="D128" s="21" t="s">
        <v>9</v>
      </c>
      <c r="E128" s="24" t="s">
        <v>455</v>
      </c>
      <c r="F128" s="21" t="s">
        <v>970</v>
      </c>
      <c r="G128" s="21" t="s">
        <v>971</v>
      </c>
      <c r="H128" s="21" t="s">
        <v>1591</v>
      </c>
    </row>
    <row r="129" spans="1:8" s="11" customFormat="1" x14ac:dyDescent="0.25">
      <c r="A129" s="7" t="s">
        <v>9</v>
      </c>
      <c r="B129" s="13" t="s">
        <v>975</v>
      </c>
      <c r="C129" s="11" t="s">
        <v>54</v>
      </c>
      <c r="D129" s="11" t="s">
        <v>974</v>
      </c>
      <c r="E129" s="30">
        <v>0.18</v>
      </c>
      <c r="F129" s="11" t="s">
        <v>202</v>
      </c>
      <c r="G129" s="11" t="s">
        <v>987</v>
      </c>
      <c r="H129" s="9" t="s">
        <v>1591</v>
      </c>
    </row>
    <row r="130" spans="1:8" s="9" customFormat="1" x14ac:dyDescent="0.25">
      <c r="A130" s="3" t="s">
        <v>9</v>
      </c>
      <c r="B130" s="7" t="s">
        <v>988</v>
      </c>
      <c r="C130" s="9" t="s">
        <v>54</v>
      </c>
      <c r="D130" s="11" t="s">
        <v>974</v>
      </c>
      <c r="E130" s="4">
        <v>0.32</v>
      </c>
      <c r="F130" s="11" t="s">
        <v>96</v>
      </c>
      <c r="G130" s="11" t="s">
        <v>989</v>
      </c>
      <c r="H130" s="9" t="s">
        <v>1591</v>
      </c>
    </row>
    <row r="131" spans="1:8" s="21" customFormat="1" x14ac:dyDescent="0.25">
      <c r="A131" s="20" t="s">
        <v>9</v>
      </c>
      <c r="B131" s="20" t="s">
        <v>992</v>
      </c>
      <c r="C131" s="21" t="s">
        <v>54</v>
      </c>
      <c r="D131" s="21" t="s">
        <v>974</v>
      </c>
      <c r="E131" s="24" t="s">
        <v>455</v>
      </c>
      <c r="F131" s="21" t="s">
        <v>990</v>
      </c>
      <c r="G131" s="21" t="s">
        <v>991</v>
      </c>
      <c r="H131" s="21" t="s">
        <v>1591</v>
      </c>
    </row>
    <row r="132" spans="1:8" s="9" customFormat="1" x14ac:dyDescent="0.25">
      <c r="A132" s="3" t="s">
        <v>9</v>
      </c>
      <c r="B132" s="13" t="s">
        <v>986</v>
      </c>
      <c r="C132" s="9" t="s">
        <v>54</v>
      </c>
      <c r="D132" s="9" t="s">
        <v>974</v>
      </c>
      <c r="E132" s="4">
        <v>0.16</v>
      </c>
      <c r="F132" s="11" t="s">
        <v>96</v>
      </c>
      <c r="G132" s="11" t="s">
        <v>993</v>
      </c>
      <c r="H132" s="9" t="s">
        <v>1591</v>
      </c>
    </row>
    <row r="133" spans="1:8" s="9" customFormat="1" x14ac:dyDescent="0.25">
      <c r="A133" s="3" t="s">
        <v>9</v>
      </c>
      <c r="B133" s="9" t="s">
        <v>994</v>
      </c>
      <c r="C133" s="9" t="s">
        <v>54</v>
      </c>
      <c r="D133" s="9" t="s">
        <v>974</v>
      </c>
      <c r="E133" s="4">
        <v>0.09</v>
      </c>
      <c r="F133" s="11" t="s">
        <v>96</v>
      </c>
      <c r="G133" s="11" t="s">
        <v>995</v>
      </c>
      <c r="H133" s="9" t="s">
        <v>1591</v>
      </c>
    </row>
    <row r="134" spans="1:8" s="21" customFormat="1" x14ac:dyDescent="0.25">
      <c r="A134" s="20" t="s">
        <v>9</v>
      </c>
      <c r="B134" s="21" t="s">
        <v>996</v>
      </c>
      <c r="C134" s="21" t="s">
        <v>54</v>
      </c>
      <c r="D134" s="21" t="s">
        <v>9</v>
      </c>
      <c r="E134" s="24" t="s">
        <v>455</v>
      </c>
      <c r="F134" s="21" t="s">
        <v>998</v>
      </c>
      <c r="G134" s="21" t="s">
        <v>997</v>
      </c>
      <c r="H134" s="21" t="s">
        <v>1591</v>
      </c>
    </row>
    <row r="135" spans="1:8" s="9" customFormat="1" x14ac:dyDescent="0.25">
      <c r="A135" s="3" t="s">
        <v>9</v>
      </c>
      <c r="B135" s="9" t="s">
        <v>999</v>
      </c>
      <c r="C135" s="9" t="s">
        <v>54</v>
      </c>
      <c r="D135" s="9" t="s">
        <v>55</v>
      </c>
      <c r="E135" s="15">
        <v>0.1</v>
      </c>
      <c r="F135" s="11" t="s">
        <v>96</v>
      </c>
      <c r="G135" s="11" t="s">
        <v>1000</v>
      </c>
      <c r="H135" s="9" t="s">
        <v>1591</v>
      </c>
    </row>
    <row r="136" spans="1:8" s="21" customFormat="1" x14ac:dyDescent="0.25">
      <c r="A136" s="20" t="s">
        <v>9</v>
      </c>
      <c r="B136" s="21" t="s">
        <v>1001</v>
      </c>
      <c r="C136" s="21" t="s">
        <v>54</v>
      </c>
      <c r="D136" s="21" t="s">
        <v>55</v>
      </c>
      <c r="E136" s="24" t="s">
        <v>455</v>
      </c>
      <c r="F136" s="21" t="s">
        <v>565</v>
      </c>
      <c r="G136" s="21" t="s">
        <v>1002</v>
      </c>
      <c r="H136" s="21" t="s">
        <v>1591</v>
      </c>
    </row>
    <row r="137" spans="1:8" s="9" customFormat="1" x14ac:dyDescent="0.25">
      <c r="A137" s="3" t="s">
        <v>9</v>
      </c>
      <c r="B137" s="13" t="s">
        <v>984</v>
      </c>
      <c r="C137" s="9" t="s">
        <v>54</v>
      </c>
      <c r="D137" s="9" t="s">
        <v>55</v>
      </c>
      <c r="E137" s="4">
        <v>1.22</v>
      </c>
      <c r="F137" s="11" t="s">
        <v>202</v>
      </c>
      <c r="G137" s="11" t="s">
        <v>1003</v>
      </c>
      <c r="H137" s="9" t="s">
        <v>1591</v>
      </c>
    </row>
    <row r="138" spans="1:8" s="9" customFormat="1" x14ac:dyDescent="0.25">
      <c r="A138" s="3" t="s">
        <v>9</v>
      </c>
      <c r="B138" s="9" t="s">
        <v>985</v>
      </c>
      <c r="C138" s="9" t="s">
        <v>54</v>
      </c>
      <c r="D138" s="9" t="s">
        <v>976</v>
      </c>
      <c r="E138" s="4">
        <v>0.15</v>
      </c>
      <c r="F138" s="11" t="s">
        <v>202</v>
      </c>
      <c r="G138" s="11" t="s">
        <v>1004</v>
      </c>
      <c r="H138" s="9" t="s">
        <v>1591</v>
      </c>
    </row>
    <row r="139" spans="1:8" s="9" customFormat="1" x14ac:dyDescent="0.25">
      <c r="A139" s="3" t="s">
        <v>9</v>
      </c>
      <c r="B139" s="13" t="s">
        <v>1005</v>
      </c>
      <c r="C139" s="9" t="s">
        <v>54</v>
      </c>
      <c r="D139" s="9" t="s">
        <v>976</v>
      </c>
      <c r="E139" s="4">
        <v>0.09</v>
      </c>
      <c r="F139" s="11" t="s">
        <v>202</v>
      </c>
      <c r="G139" s="11" t="s">
        <v>1006</v>
      </c>
      <c r="H139" s="9" t="s">
        <v>1591</v>
      </c>
    </row>
    <row r="140" spans="1:8" s="9" customFormat="1" x14ac:dyDescent="0.25">
      <c r="A140" s="3" t="s">
        <v>9</v>
      </c>
      <c r="B140" s="13" t="s">
        <v>983</v>
      </c>
      <c r="C140" s="9" t="s">
        <v>54</v>
      </c>
      <c r="D140" s="9" t="s">
        <v>976</v>
      </c>
      <c r="E140" s="4">
        <v>0.28000000000000003</v>
      </c>
      <c r="F140" s="11" t="s">
        <v>202</v>
      </c>
      <c r="G140" s="11" t="s">
        <v>1007</v>
      </c>
      <c r="H140" s="9" t="s">
        <v>1591</v>
      </c>
    </row>
    <row r="141" spans="1:8" s="21" customFormat="1" x14ac:dyDescent="0.25">
      <c r="A141" s="20" t="s">
        <v>9</v>
      </c>
      <c r="B141" s="33" t="s">
        <v>1008</v>
      </c>
      <c r="C141" s="21" t="s">
        <v>54</v>
      </c>
      <c r="D141" s="21" t="s">
        <v>9</v>
      </c>
      <c r="E141" s="24" t="s">
        <v>455</v>
      </c>
      <c r="F141" s="21" t="s">
        <v>1009</v>
      </c>
      <c r="G141" s="21" t="s">
        <v>1010</v>
      </c>
      <c r="H141" s="21" t="s">
        <v>1591</v>
      </c>
    </row>
    <row r="142" spans="1:8" s="9" customFormat="1" x14ac:dyDescent="0.25">
      <c r="A142" s="3" t="s">
        <v>9</v>
      </c>
      <c r="B142" s="13" t="s">
        <v>1543</v>
      </c>
      <c r="C142" s="11" t="s">
        <v>54</v>
      </c>
      <c r="D142" s="11" t="s">
        <v>1233</v>
      </c>
      <c r="E142" s="30">
        <v>1.56</v>
      </c>
      <c r="F142" s="11" t="s">
        <v>244</v>
      </c>
      <c r="G142" s="11" t="s">
        <v>1544</v>
      </c>
      <c r="H142" s="9" t="s">
        <v>1591</v>
      </c>
    </row>
    <row r="143" spans="1:8" s="9" customFormat="1" x14ac:dyDescent="0.25">
      <c r="A143" s="3" t="s">
        <v>9</v>
      </c>
      <c r="B143" s="13" t="s">
        <v>982</v>
      </c>
      <c r="C143" s="9" t="s">
        <v>54</v>
      </c>
      <c r="D143" s="9" t="s">
        <v>57</v>
      </c>
      <c r="E143" s="4">
        <v>0.46</v>
      </c>
      <c r="F143" s="11" t="s">
        <v>202</v>
      </c>
      <c r="G143" s="11" t="s">
        <v>1011</v>
      </c>
      <c r="H143" s="9" t="s">
        <v>1591</v>
      </c>
    </row>
    <row r="144" spans="1:8" s="9" customFormat="1" x14ac:dyDescent="0.25">
      <c r="A144" s="3" t="s">
        <v>9</v>
      </c>
      <c r="B144" s="13" t="s">
        <v>1012</v>
      </c>
      <c r="C144" s="9" t="s">
        <v>54</v>
      </c>
      <c r="D144" s="9" t="s">
        <v>57</v>
      </c>
      <c r="E144" s="4">
        <v>0.19</v>
      </c>
      <c r="F144" s="11" t="s">
        <v>202</v>
      </c>
      <c r="G144" s="11" t="s">
        <v>1013</v>
      </c>
      <c r="H144" s="9" t="s">
        <v>1591</v>
      </c>
    </row>
    <row r="145" spans="1:8" s="9" customFormat="1" x14ac:dyDescent="0.25">
      <c r="A145" s="3" t="s">
        <v>9</v>
      </c>
      <c r="B145" s="13" t="s">
        <v>1014</v>
      </c>
      <c r="C145" s="9" t="s">
        <v>54</v>
      </c>
      <c r="D145" s="9" t="s">
        <v>57</v>
      </c>
      <c r="E145" s="4">
        <v>0.12</v>
      </c>
      <c r="F145" s="11" t="s">
        <v>202</v>
      </c>
      <c r="G145" s="11" t="s">
        <v>1015</v>
      </c>
      <c r="H145" s="9" t="s">
        <v>1591</v>
      </c>
    </row>
    <row r="146" spans="1:8" s="21" customFormat="1" x14ac:dyDescent="0.25">
      <c r="A146" s="20" t="s">
        <v>9</v>
      </c>
      <c r="B146" s="33" t="s">
        <v>1018</v>
      </c>
      <c r="C146" s="21" t="s">
        <v>54</v>
      </c>
      <c r="D146" s="21" t="s">
        <v>9</v>
      </c>
      <c r="E146" s="24" t="s">
        <v>455</v>
      </c>
      <c r="F146" s="21" t="s">
        <v>1016</v>
      </c>
      <c r="G146" s="21" t="s">
        <v>1017</v>
      </c>
      <c r="H146" s="21" t="s">
        <v>1591</v>
      </c>
    </row>
    <row r="147" spans="1:8" s="9" customFormat="1" x14ac:dyDescent="0.25">
      <c r="A147" s="3" t="s">
        <v>9</v>
      </c>
      <c r="B147" s="13" t="s">
        <v>1019</v>
      </c>
      <c r="C147" s="9" t="s">
        <v>54</v>
      </c>
      <c r="D147" s="9" t="s">
        <v>57</v>
      </c>
      <c r="E147" s="4">
        <v>0.12</v>
      </c>
      <c r="F147" s="11" t="s">
        <v>96</v>
      </c>
      <c r="G147" s="11" t="s">
        <v>1020</v>
      </c>
      <c r="H147" s="9" t="s">
        <v>1591</v>
      </c>
    </row>
    <row r="148" spans="1:8" s="21" customFormat="1" x14ac:dyDescent="0.25">
      <c r="A148" s="20" t="s">
        <v>9</v>
      </c>
      <c r="B148" s="33" t="s">
        <v>1021</v>
      </c>
      <c r="C148" s="21" t="s">
        <v>54</v>
      </c>
      <c r="D148" s="21" t="s">
        <v>9</v>
      </c>
      <c r="E148" s="24" t="s">
        <v>455</v>
      </c>
      <c r="F148" s="21" t="s">
        <v>938</v>
      </c>
      <c r="G148" s="21" t="s">
        <v>1022</v>
      </c>
      <c r="H148" s="21" t="s">
        <v>1591</v>
      </c>
    </row>
    <row r="149" spans="1:8" s="9" customFormat="1" x14ac:dyDescent="0.25">
      <c r="A149" s="3" t="s">
        <v>9</v>
      </c>
      <c r="B149" s="13" t="s">
        <v>981</v>
      </c>
      <c r="C149" s="9" t="s">
        <v>54</v>
      </c>
      <c r="D149" s="9" t="s">
        <v>57</v>
      </c>
      <c r="E149" s="4">
        <v>0.23</v>
      </c>
      <c r="F149" s="11" t="s">
        <v>96</v>
      </c>
      <c r="G149" s="11" t="s">
        <v>1020</v>
      </c>
      <c r="H149" s="9" t="s">
        <v>1591</v>
      </c>
    </row>
    <row r="150" spans="1:8" s="21" customFormat="1" x14ac:dyDescent="0.25">
      <c r="A150" s="20" t="s">
        <v>9</v>
      </c>
      <c r="B150" s="33" t="s">
        <v>1023</v>
      </c>
      <c r="C150" s="21" t="s">
        <v>54</v>
      </c>
      <c r="D150" s="21" t="s">
        <v>9</v>
      </c>
      <c r="E150" s="24" t="s">
        <v>455</v>
      </c>
      <c r="F150" s="21" t="s">
        <v>1024</v>
      </c>
      <c r="G150" s="21" t="s">
        <v>1022</v>
      </c>
      <c r="H150" s="21" t="s">
        <v>1591</v>
      </c>
    </row>
    <row r="151" spans="1:8" s="9" customFormat="1" x14ac:dyDescent="0.25">
      <c r="A151" s="3" t="s">
        <v>9</v>
      </c>
      <c r="B151" s="13" t="s">
        <v>980</v>
      </c>
      <c r="C151" s="9" t="s">
        <v>54</v>
      </c>
      <c r="D151" s="9" t="s">
        <v>57</v>
      </c>
      <c r="E151" s="4">
        <v>0.46</v>
      </c>
      <c r="F151" s="11" t="s">
        <v>96</v>
      </c>
      <c r="G151" s="11" t="s">
        <v>1025</v>
      </c>
      <c r="H151" s="9" t="s">
        <v>1591</v>
      </c>
    </row>
    <row r="152" spans="1:8" s="9" customFormat="1" x14ac:dyDescent="0.25">
      <c r="A152" s="3" t="s">
        <v>9</v>
      </c>
      <c r="B152" s="13" t="s">
        <v>979</v>
      </c>
      <c r="C152" s="9" t="s">
        <v>54</v>
      </c>
      <c r="D152" s="9" t="s">
        <v>977</v>
      </c>
      <c r="E152" s="4">
        <v>1.34</v>
      </c>
      <c r="F152" s="11" t="s">
        <v>75</v>
      </c>
      <c r="G152" s="11" t="s">
        <v>1026</v>
      </c>
      <c r="H152" s="9" t="s">
        <v>1591</v>
      </c>
    </row>
    <row r="153" spans="1:8" s="9" customFormat="1" x14ac:dyDescent="0.25">
      <c r="A153" s="3" t="s">
        <v>9</v>
      </c>
      <c r="B153" s="13" t="s">
        <v>978</v>
      </c>
      <c r="C153" s="9" t="s">
        <v>54</v>
      </c>
      <c r="D153" s="9" t="s">
        <v>920</v>
      </c>
      <c r="E153" s="4">
        <v>0.45</v>
      </c>
      <c r="F153" s="11" t="s">
        <v>75</v>
      </c>
      <c r="G153" s="9" t="s">
        <v>60</v>
      </c>
      <c r="H153" s="9" t="s">
        <v>1591</v>
      </c>
    </row>
    <row r="154" spans="1:8" s="9" customFormat="1" x14ac:dyDescent="0.25">
      <c r="A154" s="3" t="s">
        <v>9</v>
      </c>
      <c r="B154" s="13" t="s">
        <v>1027</v>
      </c>
      <c r="C154" s="9" t="s">
        <v>54</v>
      </c>
      <c r="D154" s="9" t="s">
        <v>1028</v>
      </c>
      <c r="E154" s="4">
        <v>0.89</v>
      </c>
      <c r="F154" s="14" t="s">
        <v>1589</v>
      </c>
      <c r="G154" s="11" t="s">
        <v>1029</v>
      </c>
      <c r="H154" s="9" t="s">
        <v>1591</v>
      </c>
    </row>
    <row r="155" spans="1:8" s="9" customFormat="1" x14ac:dyDescent="0.25">
      <c r="A155" s="3" t="s">
        <v>9</v>
      </c>
      <c r="B155" s="13" t="s">
        <v>1030</v>
      </c>
      <c r="C155" s="9" t="s">
        <v>54</v>
      </c>
      <c r="D155" s="9" t="s">
        <v>1028</v>
      </c>
      <c r="E155" s="4">
        <v>0.11</v>
      </c>
      <c r="F155" s="11" t="s">
        <v>1032</v>
      </c>
      <c r="G155" s="11" t="s">
        <v>1031</v>
      </c>
      <c r="H155" s="9" t="s">
        <v>1591</v>
      </c>
    </row>
    <row r="156" spans="1:8" s="21" customFormat="1" x14ac:dyDescent="0.25">
      <c r="A156" s="20" t="s">
        <v>9</v>
      </c>
      <c r="B156" s="33" t="s">
        <v>1033</v>
      </c>
      <c r="C156" s="21" t="s">
        <v>54</v>
      </c>
      <c r="D156" s="21" t="s">
        <v>9</v>
      </c>
      <c r="E156" s="24" t="s">
        <v>455</v>
      </c>
      <c r="F156" s="21" t="s">
        <v>1034</v>
      </c>
      <c r="G156" s="21" t="s">
        <v>1035</v>
      </c>
      <c r="H156" s="21" t="s">
        <v>1591</v>
      </c>
    </row>
    <row r="157" spans="1:8" s="21" customFormat="1" x14ac:dyDescent="0.25">
      <c r="A157" s="20" t="s">
        <v>9</v>
      </c>
      <c r="B157" s="33" t="s">
        <v>1036</v>
      </c>
      <c r="C157" s="21" t="s">
        <v>54</v>
      </c>
      <c r="D157" s="21" t="s">
        <v>9</v>
      </c>
      <c r="E157" s="24" t="s">
        <v>455</v>
      </c>
      <c r="F157" s="21" t="s">
        <v>1037</v>
      </c>
      <c r="G157" s="21" t="s">
        <v>1038</v>
      </c>
      <c r="H157" s="21" t="s">
        <v>1591</v>
      </c>
    </row>
    <row r="158" spans="1:8" s="9" customFormat="1" x14ac:dyDescent="0.25">
      <c r="A158" s="3" t="s">
        <v>9</v>
      </c>
      <c r="B158" s="13" t="s">
        <v>1039</v>
      </c>
      <c r="C158" s="9" t="s">
        <v>54</v>
      </c>
      <c r="D158" s="9" t="s">
        <v>49</v>
      </c>
      <c r="E158" s="4">
        <f>0.31+1.11</f>
        <v>1.4200000000000002</v>
      </c>
      <c r="F158" s="11" t="s">
        <v>1040</v>
      </c>
      <c r="G158" s="11" t="s">
        <v>1042</v>
      </c>
      <c r="H158" s="9" t="s">
        <v>1591</v>
      </c>
    </row>
    <row r="159" spans="1:8" s="9" customFormat="1" x14ac:dyDescent="0.25">
      <c r="A159" s="3" t="s">
        <v>9</v>
      </c>
      <c r="B159" s="13" t="s">
        <v>1041</v>
      </c>
      <c r="C159" s="9" t="s">
        <v>54</v>
      </c>
      <c r="D159" s="9" t="s">
        <v>49</v>
      </c>
      <c r="E159" s="4">
        <v>0.26</v>
      </c>
      <c r="F159" s="11" t="s">
        <v>47</v>
      </c>
      <c r="G159" s="11" t="s">
        <v>1044</v>
      </c>
      <c r="H159" s="9" t="s">
        <v>1591</v>
      </c>
    </row>
    <row r="160" spans="1:8" s="9" customFormat="1" x14ac:dyDescent="0.25">
      <c r="A160" s="3" t="s">
        <v>9</v>
      </c>
      <c r="B160" s="13" t="s">
        <v>1043</v>
      </c>
      <c r="C160" s="9" t="s">
        <v>54</v>
      </c>
      <c r="D160" s="9" t="s">
        <v>49</v>
      </c>
      <c r="E160" s="4">
        <v>0.87</v>
      </c>
      <c r="F160" s="11" t="s">
        <v>310</v>
      </c>
      <c r="G160" s="11" t="s">
        <v>1045</v>
      </c>
      <c r="H160" s="9" t="s">
        <v>1591</v>
      </c>
    </row>
    <row r="161" spans="1:8" s="9" customFormat="1" x14ac:dyDescent="0.25">
      <c r="A161" s="3" t="s">
        <v>9</v>
      </c>
      <c r="B161" s="13" t="s">
        <v>1046</v>
      </c>
      <c r="C161" s="9" t="s">
        <v>54</v>
      </c>
      <c r="D161" s="9" t="s">
        <v>1047</v>
      </c>
      <c r="E161" s="4">
        <v>0.42</v>
      </c>
      <c r="F161" s="11" t="s">
        <v>96</v>
      </c>
      <c r="G161" s="11" t="s">
        <v>1048</v>
      </c>
      <c r="H161" s="9" t="s">
        <v>1591</v>
      </c>
    </row>
    <row r="162" spans="1:8" s="9" customFormat="1" x14ac:dyDescent="0.25">
      <c r="A162" s="3" t="s">
        <v>9</v>
      </c>
      <c r="B162" s="13" t="s">
        <v>1050</v>
      </c>
      <c r="C162" s="9" t="s">
        <v>54</v>
      </c>
      <c r="D162" s="9" t="s">
        <v>9</v>
      </c>
      <c r="E162" s="4">
        <v>0.22</v>
      </c>
      <c r="F162" s="11" t="s">
        <v>859</v>
      </c>
      <c r="G162" s="11" t="s">
        <v>1055</v>
      </c>
      <c r="H162" s="9" t="s">
        <v>1591</v>
      </c>
    </row>
    <row r="163" spans="1:8" s="9" customFormat="1" x14ac:dyDescent="0.25">
      <c r="A163" s="3" t="s">
        <v>9</v>
      </c>
      <c r="B163" s="13" t="s">
        <v>1051</v>
      </c>
      <c r="C163" s="9" t="s">
        <v>54</v>
      </c>
      <c r="D163" s="9" t="s">
        <v>1047</v>
      </c>
      <c r="E163" s="4">
        <v>0.23</v>
      </c>
      <c r="F163" s="11" t="s">
        <v>96</v>
      </c>
      <c r="G163" s="11" t="s">
        <v>1054</v>
      </c>
      <c r="H163" s="9" t="s">
        <v>1591</v>
      </c>
    </row>
    <row r="164" spans="1:8" s="9" customFormat="1" x14ac:dyDescent="0.25">
      <c r="A164" s="3" t="s">
        <v>9</v>
      </c>
      <c r="B164" s="13" t="s">
        <v>1052</v>
      </c>
      <c r="C164" s="9" t="s">
        <v>54</v>
      </c>
      <c r="D164" s="9" t="s">
        <v>1047</v>
      </c>
      <c r="E164" s="4">
        <v>0.16</v>
      </c>
      <c r="F164" s="11" t="s">
        <v>96</v>
      </c>
      <c r="G164" s="11" t="s">
        <v>1053</v>
      </c>
      <c r="H164" s="9" t="s">
        <v>1591</v>
      </c>
    </row>
    <row r="165" spans="1:8" s="9" customFormat="1" x14ac:dyDescent="0.25">
      <c r="A165" s="3" t="s">
        <v>9</v>
      </c>
      <c r="B165" s="13" t="s">
        <v>1056</v>
      </c>
      <c r="C165" s="9" t="s">
        <v>54</v>
      </c>
      <c r="D165" s="9" t="s">
        <v>1047</v>
      </c>
      <c r="E165" s="4">
        <v>0.28000000000000003</v>
      </c>
      <c r="F165" s="11" t="s">
        <v>96</v>
      </c>
      <c r="G165" s="11" t="s">
        <v>1057</v>
      </c>
      <c r="H165" s="9" t="s">
        <v>1591</v>
      </c>
    </row>
    <row r="166" spans="1:8" s="9" customFormat="1" x14ac:dyDescent="0.25">
      <c r="A166" s="3" t="s">
        <v>9</v>
      </c>
      <c r="B166" s="13" t="s">
        <v>1058</v>
      </c>
      <c r="C166" s="9" t="s">
        <v>54</v>
      </c>
      <c r="D166" s="9" t="s">
        <v>1047</v>
      </c>
      <c r="E166" s="4">
        <v>0.09</v>
      </c>
      <c r="F166" s="11" t="s">
        <v>96</v>
      </c>
      <c r="G166" s="11" t="s">
        <v>1060</v>
      </c>
      <c r="H166" s="9" t="s">
        <v>1591</v>
      </c>
    </row>
    <row r="167" spans="1:8" s="21" customFormat="1" x14ac:dyDescent="0.25">
      <c r="A167" s="20" t="s">
        <v>9</v>
      </c>
      <c r="B167" s="33" t="s">
        <v>1062</v>
      </c>
      <c r="C167" s="21" t="s">
        <v>54</v>
      </c>
      <c r="D167" s="21" t="s">
        <v>9</v>
      </c>
      <c r="E167" s="24" t="s">
        <v>455</v>
      </c>
      <c r="F167" s="21" t="s">
        <v>1061</v>
      </c>
      <c r="G167" s="21" t="s">
        <v>1059</v>
      </c>
      <c r="H167" s="21" t="s">
        <v>1591</v>
      </c>
    </row>
    <row r="168" spans="1:8" s="9" customFormat="1" x14ac:dyDescent="0.25">
      <c r="A168" s="3" t="s">
        <v>9</v>
      </c>
      <c r="B168" s="13" t="s">
        <v>1063</v>
      </c>
      <c r="C168" s="9" t="s">
        <v>54</v>
      </c>
      <c r="D168" s="9" t="s">
        <v>1047</v>
      </c>
      <c r="E168" s="4">
        <v>0.32</v>
      </c>
      <c r="F168" s="11" t="s">
        <v>96</v>
      </c>
      <c r="G168" s="11" t="s">
        <v>1066</v>
      </c>
      <c r="H168" s="9" t="s">
        <v>1591</v>
      </c>
    </row>
    <row r="169" spans="1:8" s="9" customFormat="1" x14ac:dyDescent="0.25">
      <c r="A169" s="3" t="s">
        <v>9</v>
      </c>
      <c r="B169" s="13" t="s">
        <v>1064</v>
      </c>
      <c r="C169" s="9" t="s">
        <v>54</v>
      </c>
      <c r="D169" s="9" t="s">
        <v>1047</v>
      </c>
      <c r="E169" s="4">
        <v>0.12</v>
      </c>
      <c r="F169" s="11" t="s">
        <v>96</v>
      </c>
      <c r="G169" s="11" t="s">
        <v>1065</v>
      </c>
      <c r="H169" s="9" t="s">
        <v>1591</v>
      </c>
    </row>
    <row r="170" spans="1:8" s="21" customFormat="1" x14ac:dyDescent="0.25">
      <c r="A170" s="20" t="s">
        <v>9</v>
      </c>
      <c r="B170" s="33" t="s">
        <v>1069</v>
      </c>
      <c r="C170" s="21" t="s">
        <v>54</v>
      </c>
      <c r="D170" s="21" t="s">
        <v>9</v>
      </c>
      <c r="E170" s="24" t="s">
        <v>455</v>
      </c>
      <c r="F170" s="21" t="s">
        <v>1068</v>
      </c>
      <c r="G170" s="21" t="s">
        <v>1067</v>
      </c>
      <c r="H170" s="21" t="s">
        <v>1591</v>
      </c>
    </row>
    <row r="171" spans="1:8" s="21" customFormat="1" x14ac:dyDescent="0.25">
      <c r="A171" s="20" t="s">
        <v>9</v>
      </c>
      <c r="B171" s="33" t="s">
        <v>1070</v>
      </c>
      <c r="C171" s="21" t="s">
        <v>54</v>
      </c>
      <c r="D171" s="21" t="s">
        <v>9</v>
      </c>
      <c r="E171" s="24" t="s">
        <v>455</v>
      </c>
      <c r="F171" s="21" t="s">
        <v>1071</v>
      </c>
      <c r="G171" s="21" t="s">
        <v>1073</v>
      </c>
      <c r="H171" s="21" t="s">
        <v>1591</v>
      </c>
    </row>
    <row r="172" spans="1:8" s="21" customFormat="1" x14ac:dyDescent="0.25">
      <c r="A172" s="20" t="s">
        <v>9</v>
      </c>
      <c r="B172" s="33" t="s">
        <v>1072</v>
      </c>
      <c r="C172" s="21" t="s">
        <v>54</v>
      </c>
      <c r="D172" s="21" t="s">
        <v>9</v>
      </c>
      <c r="E172" s="24" t="s">
        <v>455</v>
      </c>
      <c r="F172" s="21" t="s">
        <v>938</v>
      </c>
      <c r="G172" s="21" t="s">
        <v>1074</v>
      </c>
      <c r="H172" s="21" t="s">
        <v>1591</v>
      </c>
    </row>
    <row r="173" spans="1:8" s="9" customFormat="1" x14ac:dyDescent="0.25">
      <c r="A173" s="3" t="s">
        <v>9</v>
      </c>
      <c r="B173" s="13" t="s">
        <v>1075</v>
      </c>
      <c r="C173" s="9" t="s">
        <v>54</v>
      </c>
      <c r="D173" s="9" t="s">
        <v>9</v>
      </c>
      <c r="E173" s="4">
        <v>0.19</v>
      </c>
      <c r="F173" s="11" t="s">
        <v>859</v>
      </c>
      <c r="G173" s="11" t="s">
        <v>1076</v>
      </c>
      <c r="H173" s="9" t="s">
        <v>1591</v>
      </c>
    </row>
    <row r="174" spans="1:8" s="9" customFormat="1" x14ac:dyDescent="0.25">
      <c r="A174" s="3" t="s">
        <v>9</v>
      </c>
      <c r="B174" s="13" t="s">
        <v>1078</v>
      </c>
      <c r="C174" s="9" t="s">
        <v>54</v>
      </c>
      <c r="D174" s="9" t="s">
        <v>1047</v>
      </c>
      <c r="E174" s="4">
        <v>0.04</v>
      </c>
      <c r="F174" s="11" t="s">
        <v>1079</v>
      </c>
      <c r="G174" s="11" t="s">
        <v>1080</v>
      </c>
      <c r="H174" s="9" t="s">
        <v>1591</v>
      </c>
    </row>
    <row r="175" spans="1:8" s="21" customFormat="1" x14ac:dyDescent="0.25">
      <c r="A175" s="20" t="s">
        <v>9</v>
      </c>
      <c r="B175" s="33" t="s">
        <v>1082</v>
      </c>
      <c r="C175" s="21" t="s">
        <v>54</v>
      </c>
      <c r="D175" s="21" t="s">
        <v>9</v>
      </c>
      <c r="E175" s="24" t="s">
        <v>455</v>
      </c>
      <c r="F175" s="21" t="s">
        <v>1081</v>
      </c>
      <c r="G175" s="21" t="s">
        <v>1083</v>
      </c>
      <c r="H175" s="21" t="s">
        <v>1591</v>
      </c>
    </row>
    <row r="176" spans="1:8" s="21" customFormat="1" x14ac:dyDescent="0.25">
      <c r="A176" s="20" t="s">
        <v>9</v>
      </c>
      <c r="B176" s="33" t="s">
        <v>1084</v>
      </c>
      <c r="C176" s="21" t="s">
        <v>54</v>
      </c>
      <c r="D176" s="21" t="s">
        <v>9</v>
      </c>
      <c r="E176" s="24" t="s">
        <v>455</v>
      </c>
      <c r="F176" s="21" t="s">
        <v>1085</v>
      </c>
      <c r="G176" s="21" t="s">
        <v>1086</v>
      </c>
      <c r="H176" s="21" t="s">
        <v>1591</v>
      </c>
    </row>
    <row r="177" spans="1:8" s="9" customFormat="1" x14ac:dyDescent="0.25">
      <c r="A177" s="3" t="s">
        <v>9</v>
      </c>
      <c r="B177" s="13" t="s">
        <v>1087</v>
      </c>
      <c r="C177" s="9" t="s">
        <v>54</v>
      </c>
      <c r="D177" s="9" t="s">
        <v>9</v>
      </c>
      <c r="E177" s="4">
        <v>0.11</v>
      </c>
      <c r="F177" s="11" t="s">
        <v>859</v>
      </c>
      <c r="G177" s="11" t="s">
        <v>1088</v>
      </c>
      <c r="H177" s="9" t="s">
        <v>1591</v>
      </c>
    </row>
    <row r="178" spans="1:8" s="9" customFormat="1" x14ac:dyDescent="0.25">
      <c r="A178" s="3" t="s">
        <v>9</v>
      </c>
      <c r="B178" s="13" t="s">
        <v>1089</v>
      </c>
      <c r="C178" s="9" t="s">
        <v>54</v>
      </c>
      <c r="D178" s="9" t="s">
        <v>1047</v>
      </c>
      <c r="E178" s="4">
        <v>0.11</v>
      </c>
      <c r="F178" s="11" t="s">
        <v>96</v>
      </c>
      <c r="G178" s="11" t="s">
        <v>1090</v>
      </c>
      <c r="H178" s="9" t="s">
        <v>1591</v>
      </c>
    </row>
    <row r="179" spans="1:8" s="21" customFormat="1" x14ac:dyDescent="0.25">
      <c r="A179" s="20" t="s">
        <v>9</v>
      </c>
      <c r="B179" s="33" t="s">
        <v>1091</v>
      </c>
      <c r="C179" s="21" t="s">
        <v>54</v>
      </c>
      <c r="D179" s="21" t="s">
        <v>9</v>
      </c>
      <c r="E179" s="24" t="s">
        <v>455</v>
      </c>
      <c r="F179" s="21" t="s">
        <v>1037</v>
      </c>
      <c r="G179" s="21" t="s">
        <v>1092</v>
      </c>
      <c r="H179" s="21" t="s">
        <v>1591</v>
      </c>
    </row>
    <row r="180" spans="1:8" s="9" customFormat="1" x14ac:dyDescent="0.25">
      <c r="A180" s="3" t="s">
        <v>9</v>
      </c>
      <c r="B180" s="13" t="s">
        <v>1093</v>
      </c>
      <c r="C180" s="9" t="s">
        <v>54</v>
      </c>
      <c r="D180" s="9" t="s">
        <v>1047</v>
      </c>
      <c r="E180" s="4">
        <v>0.35</v>
      </c>
      <c r="F180" s="11" t="s">
        <v>202</v>
      </c>
      <c r="G180" s="11" t="s">
        <v>1094</v>
      </c>
      <c r="H180" s="9" t="s">
        <v>1591</v>
      </c>
    </row>
    <row r="181" spans="1:8" s="21" customFormat="1" x14ac:dyDescent="0.25">
      <c r="A181" s="20" t="s">
        <v>9</v>
      </c>
      <c r="B181" s="33" t="s">
        <v>1095</v>
      </c>
      <c r="C181" s="21" t="s">
        <v>54</v>
      </c>
      <c r="D181" s="21" t="s">
        <v>9</v>
      </c>
      <c r="E181" s="24" t="s">
        <v>455</v>
      </c>
      <c r="F181" s="21" t="s">
        <v>1096</v>
      </c>
      <c r="G181" s="21" t="s">
        <v>1097</v>
      </c>
      <c r="H181" s="21" t="s">
        <v>1591</v>
      </c>
    </row>
    <row r="182" spans="1:8" s="9" customFormat="1" x14ac:dyDescent="0.25">
      <c r="A182" s="3" t="s">
        <v>9</v>
      </c>
      <c r="B182" s="13" t="s">
        <v>1098</v>
      </c>
      <c r="C182" s="9" t="s">
        <v>54</v>
      </c>
      <c r="D182" s="9" t="s">
        <v>1099</v>
      </c>
      <c r="E182" s="4">
        <v>0.13</v>
      </c>
      <c r="F182" s="11" t="s">
        <v>244</v>
      </c>
      <c r="H182" s="9" t="s">
        <v>1591</v>
      </c>
    </row>
    <row r="183" spans="1:8" s="9" customFormat="1" x14ac:dyDescent="0.25">
      <c r="A183" s="3" t="s">
        <v>9</v>
      </c>
      <c r="B183" s="13" t="s">
        <v>1100</v>
      </c>
      <c r="C183" s="9" t="s">
        <v>54</v>
      </c>
      <c r="D183" s="9" t="s">
        <v>9</v>
      </c>
      <c r="E183" s="4">
        <v>0.15</v>
      </c>
      <c r="F183" s="11" t="s">
        <v>859</v>
      </c>
      <c r="G183" s="11" t="s">
        <v>1101</v>
      </c>
      <c r="H183" s="9" t="s">
        <v>1591</v>
      </c>
    </row>
    <row r="184" spans="1:8" s="9" customFormat="1" x14ac:dyDescent="0.25">
      <c r="A184" s="3" t="s">
        <v>9</v>
      </c>
      <c r="B184" s="13" t="s">
        <v>1102</v>
      </c>
      <c r="C184" s="9" t="s">
        <v>54</v>
      </c>
      <c r="D184" s="9" t="s">
        <v>1047</v>
      </c>
      <c r="E184" s="4">
        <v>0.24</v>
      </c>
      <c r="F184" s="11" t="s">
        <v>96</v>
      </c>
      <c r="G184" s="11" t="s">
        <v>1103</v>
      </c>
      <c r="H184" s="9" t="s">
        <v>1591</v>
      </c>
    </row>
    <row r="185" spans="1:8" s="21" customFormat="1" x14ac:dyDescent="0.25">
      <c r="A185" s="20" t="s">
        <v>9</v>
      </c>
      <c r="B185" s="33" t="s">
        <v>1104</v>
      </c>
      <c r="C185" s="21" t="s">
        <v>54</v>
      </c>
      <c r="D185" s="21" t="s">
        <v>9</v>
      </c>
      <c r="E185" s="24" t="s">
        <v>455</v>
      </c>
      <c r="F185" s="21" t="s">
        <v>1105</v>
      </c>
      <c r="G185" s="21" t="s">
        <v>1106</v>
      </c>
      <c r="H185" s="21" t="s">
        <v>1591</v>
      </c>
    </row>
    <row r="186" spans="1:8" s="21" customFormat="1" x14ac:dyDescent="0.25">
      <c r="A186" s="20" t="s">
        <v>9</v>
      </c>
      <c r="B186" s="33" t="s">
        <v>1107</v>
      </c>
      <c r="C186" s="21" t="s">
        <v>54</v>
      </c>
      <c r="D186" s="21" t="s">
        <v>1047</v>
      </c>
      <c r="E186" s="24" t="s">
        <v>455</v>
      </c>
      <c r="F186" s="21" t="s">
        <v>643</v>
      </c>
      <c r="G186" s="21" t="s">
        <v>1108</v>
      </c>
      <c r="H186" s="21" t="s">
        <v>1591</v>
      </c>
    </row>
    <row r="187" spans="1:8" s="21" customFormat="1" x14ac:dyDescent="0.25">
      <c r="A187" s="20" t="s">
        <v>9</v>
      </c>
      <c r="B187" s="33" t="s">
        <v>1109</v>
      </c>
      <c r="C187" s="21" t="s">
        <v>54</v>
      </c>
      <c r="D187" s="21" t="s">
        <v>9</v>
      </c>
      <c r="E187" s="24" t="s">
        <v>455</v>
      </c>
      <c r="F187" s="21" t="s">
        <v>1110</v>
      </c>
      <c r="G187" s="21" t="s">
        <v>1111</v>
      </c>
      <c r="H187" s="21" t="s">
        <v>1591</v>
      </c>
    </row>
    <row r="188" spans="1:8" s="21" customFormat="1" x14ac:dyDescent="0.25">
      <c r="A188" s="20" t="s">
        <v>9</v>
      </c>
      <c r="B188" s="33" t="s">
        <v>1112</v>
      </c>
      <c r="C188" s="21" t="s">
        <v>54</v>
      </c>
      <c r="D188" s="21" t="s">
        <v>9</v>
      </c>
      <c r="E188" s="24" t="s">
        <v>455</v>
      </c>
      <c r="F188" s="21" t="s">
        <v>941</v>
      </c>
      <c r="G188" s="21" t="s">
        <v>1113</v>
      </c>
      <c r="H188" s="21" t="s">
        <v>1591</v>
      </c>
    </row>
    <row r="189" spans="1:8" s="21" customFormat="1" x14ac:dyDescent="0.25">
      <c r="A189" s="20" t="s">
        <v>9</v>
      </c>
      <c r="B189" s="33" t="s">
        <v>1116</v>
      </c>
      <c r="C189" s="21" t="s">
        <v>54</v>
      </c>
      <c r="D189" s="21" t="s">
        <v>9</v>
      </c>
      <c r="E189" s="24" t="s">
        <v>455</v>
      </c>
      <c r="F189" s="21" t="s">
        <v>1115</v>
      </c>
      <c r="G189" s="21" t="s">
        <v>1114</v>
      </c>
      <c r="H189" s="21" t="s">
        <v>1591</v>
      </c>
    </row>
    <row r="190" spans="1:8" s="9" customFormat="1" x14ac:dyDescent="0.25">
      <c r="A190" s="3" t="s">
        <v>9</v>
      </c>
      <c r="B190" s="13" t="s">
        <v>1117</v>
      </c>
      <c r="C190" s="9" t="s">
        <v>54</v>
      </c>
      <c r="D190" s="9" t="s">
        <v>1047</v>
      </c>
      <c r="E190" s="4">
        <v>0.09</v>
      </c>
      <c r="F190" s="11" t="s">
        <v>96</v>
      </c>
      <c r="G190" s="11" t="s">
        <v>1118</v>
      </c>
      <c r="H190" s="9" t="s">
        <v>1591</v>
      </c>
    </row>
    <row r="191" spans="1:8" s="9" customFormat="1" x14ac:dyDescent="0.25">
      <c r="A191" s="3" t="s">
        <v>9</v>
      </c>
      <c r="B191" s="13" t="s">
        <v>1119</v>
      </c>
      <c r="C191" s="9" t="s">
        <v>54</v>
      </c>
      <c r="D191" s="9" t="s">
        <v>9</v>
      </c>
      <c r="E191" s="4">
        <v>0.16</v>
      </c>
      <c r="F191" s="11" t="s">
        <v>859</v>
      </c>
      <c r="G191" s="11" t="s">
        <v>1120</v>
      </c>
      <c r="H191" s="9" t="s">
        <v>1591</v>
      </c>
    </row>
    <row r="192" spans="1:8" s="9" customFormat="1" x14ac:dyDescent="0.25">
      <c r="A192" s="3" t="s">
        <v>9</v>
      </c>
      <c r="B192" s="13" t="s">
        <v>1121</v>
      </c>
      <c r="C192" s="9" t="s">
        <v>54</v>
      </c>
      <c r="D192" s="9" t="s">
        <v>9</v>
      </c>
      <c r="E192" s="15">
        <v>0.1</v>
      </c>
      <c r="F192" s="11" t="s">
        <v>859</v>
      </c>
      <c r="G192" s="11" t="s">
        <v>1122</v>
      </c>
      <c r="H192" s="9" t="s">
        <v>1591</v>
      </c>
    </row>
    <row r="193" spans="1:8" s="9" customFormat="1" x14ac:dyDescent="0.25">
      <c r="A193" s="3" t="s">
        <v>9</v>
      </c>
      <c r="B193" s="13" t="s">
        <v>1123</v>
      </c>
      <c r="C193" s="9" t="s">
        <v>54</v>
      </c>
      <c r="D193" s="9" t="s">
        <v>680</v>
      </c>
      <c r="E193" s="4">
        <v>0.22</v>
      </c>
      <c r="F193" s="11" t="s">
        <v>96</v>
      </c>
      <c r="G193" s="11" t="s">
        <v>1124</v>
      </c>
      <c r="H193" s="9" t="s">
        <v>1591</v>
      </c>
    </row>
    <row r="194" spans="1:8" s="9" customFormat="1" x14ac:dyDescent="0.25">
      <c r="A194" s="3" t="s">
        <v>9</v>
      </c>
      <c r="B194" s="13" t="s">
        <v>1127</v>
      </c>
      <c r="C194" s="9" t="s">
        <v>54</v>
      </c>
      <c r="D194" s="9" t="s">
        <v>304</v>
      </c>
      <c r="E194" s="4">
        <v>1.84</v>
      </c>
      <c r="F194" s="11" t="s">
        <v>1129</v>
      </c>
      <c r="G194" s="11" t="s">
        <v>1125</v>
      </c>
      <c r="H194" s="9" t="s">
        <v>1591</v>
      </c>
    </row>
    <row r="195" spans="1:8" s="9" customFormat="1" x14ac:dyDescent="0.25">
      <c r="A195" s="3" t="s">
        <v>9</v>
      </c>
      <c r="B195" s="13" t="s">
        <v>1126</v>
      </c>
      <c r="C195" s="9" t="s">
        <v>43</v>
      </c>
      <c r="D195" s="9" t="s">
        <v>304</v>
      </c>
      <c r="E195" s="4">
        <v>0.73</v>
      </c>
      <c r="F195" s="11" t="s">
        <v>1128</v>
      </c>
      <c r="G195" s="11" t="s">
        <v>1132</v>
      </c>
      <c r="H195" s="9" t="s">
        <v>1591</v>
      </c>
    </row>
    <row r="196" spans="1:8" s="9" customFormat="1" x14ac:dyDescent="0.25">
      <c r="A196" s="3" t="s">
        <v>9</v>
      </c>
      <c r="B196" s="13" t="s">
        <v>1130</v>
      </c>
      <c r="C196" s="9" t="s">
        <v>43</v>
      </c>
      <c r="D196" s="9" t="s">
        <v>1131</v>
      </c>
      <c r="E196" s="15">
        <v>0.4</v>
      </c>
      <c r="F196" s="11" t="s">
        <v>202</v>
      </c>
      <c r="G196" s="11" t="s">
        <v>1133</v>
      </c>
      <c r="H196" s="9" t="s">
        <v>1591</v>
      </c>
    </row>
    <row r="197" spans="1:8" s="9" customFormat="1" x14ac:dyDescent="0.25">
      <c r="A197" s="3" t="s">
        <v>9</v>
      </c>
      <c r="B197" s="13" t="s">
        <v>1134</v>
      </c>
      <c r="C197" s="9" t="s">
        <v>43</v>
      </c>
      <c r="D197" s="9" t="s">
        <v>1131</v>
      </c>
      <c r="E197" s="4">
        <v>0.19</v>
      </c>
      <c r="F197" s="11" t="s">
        <v>96</v>
      </c>
      <c r="G197" s="11" t="s">
        <v>1135</v>
      </c>
      <c r="H197" s="9" t="s">
        <v>1591</v>
      </c>
    </row>
    <row r="198" spans="1:8" s="21" customFormat="1" x14ac:dyDescent="0.25">
      <c r="A198" s="20" t="s">
        <v>9</v>
      </c>
      <c r="B198" s="33" t="s">
        <v>1136</v>
      </c>
      <c r="C198" s="21" t="s">
        <v>43</v>
      </c>
      <c r="D198" s="21" t="s">
        <v>1131</v>
      </c>
      <c r="E198" s="24" t="s">
        <v>455</v>
      </c>
      <c r="F198" s="21" t="s">
        <v>539</v>
      </c>
      <c r="G198" s="21" t="s">
        <v>1137</v>
      </c>
      <c r="H198" s="21" t="s">
        <v>1591</v>
      </c>
    </row>
    <row r="199" spans="1:8" s="9" customFormat="1" x14ac:dyDescent="0.25">
      <c r="A199" s="3" t="s">
        <v>9</v>
      </c>
      <c r="B199" s="13" t="s">
        <v>1138</v>
      </c>
      <c r="C199" s="9" t="s">
        <v>43</v>
      </c>
      <c r="D199" s="9" t="s">
        <v>9</v>
      </c>
      <c r="E199" s="15">
        <v>0.2</v>
      </c>
      <c r="F199" s="11" t="s">
        <v>859</v>
      </c>
      <c r="G199" s="11" t="s">
        <v>1139</v>
      </c>
      <c r="H199" s="9" t="s">
        <v>1591</v>
      </c>
    </row>
    <row r="200" spans="1:8" s="9" customFormat="1" x14ac:dyDescent="0.25">
      <c r="A200" s="3" t="s">
        <v>9</v>
      </c>
      <c r="B200" s="13" t="s">
        <v>1140</v>
      </c>
      <c r="C200" s="9" t="s">
        <v>43</v>
      </c>
      <c r="D200" s="9" t="s">
        <v>1141</v>
      </c>
      <c r="E200" s="4">
        <v>0.18</v>
      </c>
      <c r="F200" s="11" t="s">
        <v>96</v>
      </c>
      <c r="G200" s="11" t="s">
        <v>1142</v>
      </c>
      <c r="H200" s="9" t="s">
        <v>1591</v>
      </c>
    </row>
    <row r="201" spans="1:8" s="9" customFormat="1" x14ac:dyDescent="0.25">
      <c r="A201" s="3" t="s">
        <v>9</v>
      </c>
      <c r="B201" s="13" t="s">
        <v>1143</v>
      </c>
      <c r="C201" s="9" t="s">
        <v>43</v>
      </c>
      <c r="D201" s="9" t="s">
        <v>1141</v>
      </c>
      <c r="E201" s="4">
        <v>0.13</v>
      </c>
      <c r="F201" s="11" t="s">
        <v>1145</v>
      </c>
      <c r="G201" s="11" t="s">
        <v>1144</v>
      </c>
      <c r="H201" s="9" t="s">
        <v>1591</v>
      </c>
    </row>
    <row r="202" spans="1:8" s="9" customFormat="1" x14ac:dyDescent="0.25">
      <c r="A202" s="3" t="s">
        <v>9</v>
      </c>
      <c r="B202" s="13" t="s">
        <v>1147</v>
      </c>
      <c r="C202" s="9" t="s">
        <v>43</v>
      </c>
      <c r="D202" s="9" t="s">
        <v>1146</v>
      </c>
      <c r="E202" s="4">
        <v>0.11</v>
      </c>
      <c r="F202" s="11" t="s">
        <v>96</v>
      </c>
      <c r="G202" s="11" t="s">
        <v>1148</v>
      </c>
      <c r="H202" s="9" t="s">
        <v>1591</v>
      </c>
    </row>
    <row r="203" spans="1:8" s="9" customFormat="1" x14ac:dyDescent="0.25">
      <c r="A203" s="3" t="s">
        <v>9</v>
      </c>
      <c r="B203" s="13" t="s">
        <v>1149</v>
      </c>
      <c r="C203" s="9" t="s">
        <v>43</v>
      </c>
      <c r="D203" s="9" t="s">
        <v>9</v>
      </c>
      <c r="E203" s="4">
        <v>0.09</v>
      </c>
      <c r="F203" s="11" t="s">
        <v>859</v>
      </c>
      <c r="G203" s="11" t="s">
        <v>1150</v>
      </c>
      <c r="H203" s="9" t="s">
        <v>1591</v>
      </c>
    </row>
    <row r="204" spans="1:8" s="9" customFormat="1" x14ac:dyDescent="0.25">
      <c r="A204" s="3" t="s">
        <v>9</v>
      </c>
      <c r="B204" s="13" t="s">
        <v>1151</v>
      </c>
      <c r="C204" s="9" t="s">
        <v>43</v>
      </c>
      <c r="D204" s="9" t="s">
        <v>9</v>
      </c>
      <c r="E204" s="15">
        <v>0.1</v>
      </c>
      <c r="F204" s="11" t="s">
        <v>1152</v>
      </c>
      <c r="G204" s="11" t="s">
        <v>1153</v>
      </c>
      <c r="H204" s="9" t="s">
        <v>1591</v>
      </c>
    </row>
    <row r="205" spans="1:8" s="9" customFormat="1" x14ac:dyDescent="0.25">
      <c r="A205" s="3" t="s">
        <v>9</v>
      </c>
      <c r="B205" s="13" t="s">
        <v>1154</v>
      </c>
      <c r="C205" s="9" t="s">
        <v>43</v>
      </c>
      <c r="D205" s="9" t="s">
        <v>9</v>
      </c>
      <c r="E205" s="4">
        <v>7.0000000000000007E-2</v>
      </c>
      <c r="F205" s="11" t="s">
        <v>1155</v>
      </c>
      <c r="G205" s="11" t="s">
        <v>1156</v>
      </c>
      <c r="H205" s="9" t="s">
        <v>1591</v>
      </c>
    </row>
    <row r="206" spans="1:8" s="21" customFormat="1" x14ac:dyDescent="0.25">
      <c r="A206" s="20" t="s">
        <v>9</v>
      </c>
      <c r="B206" s="33" t="s">
        <v>313</v>
      </c>
      <c r="C206" s="21" t="s">
        <v>43</v>
      </c>
      <c r="D206" s="21" t="s">
        <v>9</v>
      </c>
      <c r="E206" s="24" t="s">
        <v>455</v>
      </c>
      <c r="F206" s="21" t="s">
        <v>1157</v>
      </c>
      <c r="G206" s="21" t="s">
        <v>1158</v>
      </c>
      <c r="H206" s="21" t="s">
        <v>1591</v>
      </c>
    </row>
    <row r="207" spans="1:8" s="9" customFormat="1" x14ac:dyDescent="0.25">
      <c r="A207" s="3" t="s">
        <v>9</v>
      </c>
      <c r="B207" s="13" t="s">
        <v>1159</v>
      </c>
      <c r="C207" s="9" t="s">
        <v>43</v>
      </c>
      <c r="D207" s="9" t="s">
        <v>1172</v>
      </c>
      <c r="E207" s="4">
        <v>0.55000000000000004</v>
      </c>
      <c r="F207" s="11" t="s">
        <v>1160</v>
      </c>
      <c r="G207" s="11" t="s">
        <v>1161</v>
      </c>
      <c r="H207" s="9" t="s">
        <v>1591</v>
      </c>
    </row>
    <row r="208" spans="1:8" s="21" customFormat="1" x14ac:dyDescent="0.25">
      <c r="A208" s="20" t="s">
        <v>9</v>
      </c>
      <c r="B208" s="33" t="s">
        <v>1162</v>
      </c>
      <c r="C208" s="21" t="s">
        <v>43</v>
      </c>
      <c r="D208" s="21" t="s">
        <v>9</v>
      </c>
      <c r="E208" s="24" t="s">
        <v>455</v>
      </c>
      <c r="F208" s="21" t="s">
        <v>1105</v>
      </c>
      <c r="G208" s="21" t="s">
        <v>1163</v>
      </c>
      <c r="H208" s="21" t="s">
        <v>1591</v>
      </c>
    </row>
    <row r="209" spans="1:8" s="9" customFormat="1" x14ac:dyDescent="0.25">
      <c r="A209" s="3" t="s">
        <v>9</v>
      </c>
      <c r="B209" s="13" t="s">
        <v>1164</v>
      </c>
      <c r="C209" s="9" t="s">
        <v>43</v>
      </c>
      <c r="D209" s="9" t="s">
        <v>1146</v>
      </c>
      <c r="E209" s="4">
        <v>0.45</v>
      </c>
      <c r="F209" s="11" t="s">
        <v>1165</v>
      </c>
      <c r="G209" s="11" t="s">
        <v>1166</v>
      </c>
      <c r="H209" s="9" t="s">
        <v>1591</v>
      </c>
    </row>
    <row r="210" spans="1:8" s="9" customFormat="1" x14ac:dyDescent="0.25">
      <c r="A210" s="3" t="s">
        <v>9</v>
      </c>
      <c r="B210" s="13" t="s">
        <v>1167</v>
      </c>
      <c r="C210" s="9" t="s">
        <v>43</v>
      </c>
      <c r="D210" s="9" t="s">
        <v>1171</v>
      </c>
      <c r="E210" s="4">
        <v>0.14000000000000001</v>
      </c>
      <c r="F210" s="11" t="s">
        <v>75</v>
      </c>
      <c r="G210" s="11"/>
      <c r="H210" s="9" t="s">
        <v>1591</v>
      </c>
    </row>
    <row r="211" spans="1:8" s="9" customFormat="1" x14ac:dyDescent="0.25">
      <c r="A211" s="3" t="s">
        <v>9</v>
      </c>
      <c r="B211" s="13" t="s">
        <v>1170</v>
      </c>
      <c r="C211" s="9" t="s">
        <v>43</v>
      </c>
      <c r="D211" s="9" t="s">
        <v>9</v>
      </c>
      <c r="E211" s="4">
        <v>7.0000000000000007E-2</v>
      </c>
      <c r="F211" s="11" t="s">
        <v>1168</v>
      </c>
      <c r="G211" s="11" t="s">
        <v>1169</v>
      </c>
      <c r="H211" s="9" t="s">
        <v>1591</v>
      </c>
    </row>
    <row r="212" spans="1:8" s="9" customFormat="1" x14ac:dyDescent="0.25">
      <c r="A212" s="3" t="s">
        <v>9</v>
      </c>
      <c r="B212" s="13" t="s">
        <v>1173</v>
      </c>
      <c r="C212" s="9" t="s">
        <v>43</v>
      </c>
      <c r="D212" s="9" t="s">
        <v>9</v>
      </c>
      <c r="E212" s="4">
        <v>0.04</v>
      </c>
      <c r="F212" s="11" t="s">
        <v>1174</v>
      </c>
      <c r="G212" s="11" t="s">
        <v>1175</v>
      </c>
      <c r="H212" s="9" t="s">
        <v>1591</v>
      </c>
    </row>
    <row r="213" spans="1:8" s="21" customFormat="1" x14ac:dyDescent="0.25">
      <c r="A213" s="20" t="s">
        <v>9</v>
      </c>
      <c r="B213" s="33" t="s">
        <v>1176</v>
      </c>
      <c r="C213" s="21" t="s">
        <v>43</v>
      </c>
      <c r="D213" s="21" t="s">
        <v>9</v>
      </c>
      <c r="E213" s="24" t="s">
        <v>455</v>
      </c>
      <c r="F213" s="21" t="s">
        <v>1177</v>
      </c>
      <c r="G213" s="21" t="s">
        <v>1178</v>
      </c>
      <c r="H213" s="21" t="s">
        <v>1591</v>
      </c>
    </row>
    <row r="214" spans="1:8" s="9" customFormat="1" x14ac:dyDescent="0.25">
      <c r="A214" s="3" t="s">
        <v>9</v>
      </c>
      <c r="B214" s="13" t="s">
        <v>1179</v>
      </c>
      <c r="C214" s="9" t="s">
        <v>43</v>
      </c>
      <c r="D214" s="9" t="s">
        <v>49</v>
      </c>
      <c r="E214" s="4">
        <v>0.65</v>
      </c>
      <c r="F214" s="11" t="s">
        <v>12</v>
      </c>
      <c r="G214" s="11" t="s">
        <v>1180</v>
      </c>
      <c r="H214" s="9" t="s">
        <v>1591</v>
      </c>
    </row>
    <row r="215" spans="1:8" s="9" customFormat="1" x14ac:dyDescent="0.25">
      <c r="A215" s="3" t="s">
        <v>9</v>
      </c>
      <c r="B215" s="13" t="s">
        <v>1181</v>
      </c>
      <c r="C215" s="9" t="s">
        <v>1182</v>
      </c>
      <c r="D215" s="9" t="s">
        <v>49</v>
      </c>
      <c r="E215" s="4">
        <v>1.57</v>
      </c>
      <c r="F215" s="11" t="s">
        <v>12</v>
      </c>
      <c r="G215" s="11" t="s">
        <v>1183</v>
      </c>
      <c r="H215" s="9" t="s">
        <v>1591</v>
      </c>
    </row>
    <row r="216" spans="1:8" s="9" customFormat="1" x14ac:dyDescent="0.25">
      <c r="A216" s="3" t="s">
        <v>9</v>
      </c>
      <c r="B216" s="13" t="s">
        <v>1184</v>
      </c>
      <c r="C216" s="9" t="s">
        <v>1182</v>
      </c>
      <c r="D216" s="9" t="s">
        <v>1185</v>
      </c>
      <c r="E216" s="4">
        <v>0.99</v>
      </c>
      <c r="F216" s="11" t="s">
        <v>202</v>
      </c>
      <c r="G216" s="11" t="s">
        <v>1186</v>
      </c>
      <c r="H216" s="9" t="s">
        <v>1591</v>
      </c>
    </row>
    <row r="217" spans="1:8" s="9" customFormat="1" x14ac:dyDescent="0.25">
      <c r="A217" s="3" t="s">
        <v>9</v>
      </c>
      <c r="B217" s="13" t="s">
        <v>1188</v>
      </c>
      <c r="C217" s="9" t="s">
        <v>1182</v>
      </c>
      <c r="D217" s="9" t="s">
        <v>1187</v>
      </c>
      <c r="E217" s="4">
        <v>0.88</v>
      </c>
      <c r="F217" s="11" t="s">
        <v>75</v>
      </c>
      <c r="G217" s="11" t="s">
        <v>1189</v>
      </c>
      <c r="H217" s="9" t="s">
        <v>1591</v>
      </c>
    </row>
    <row r="218" spans="1:8" s="9" customFormat="1" x14ac:dyDescent="0.25">
      <c r="A218" s="3" t="s">
        <v>9</v>
      </c>
      <c r="B218" s="13" t="s">
        <v>1190</v>
      </c>
      <c r="C218" s="9" t="s">
        <v>1182</v>
      </c>
      <c r="D218" s="9" t="s">
        <v>1185</v>
      </c>
      <c r="E218" s="4">
        <v>0.09</v>
      </c>
      <c r="F218" s="11" t="s">
        <v>96</v>
      </c>
      <c r="G218" s="11" t="s">
        <v>1120</v>
      </c>
      <c r="H218" s="9" t="s">
        <v>1591</v>
      </c>
    </row>
    <row r="219" spans="1:8" s="9" customFormat="1" x14ac:dyDescent="0.25">
      <c r="A219" s="3" t="s">
        <v>9</v>
      </c>
      <c r="B219" s="13" t="s">
        <v>1191</v>
      </c>
      <c r="C219" s="9" t="s">
        <v>1182</v>
      </c>
      <c r="D219" s="9" t="s">
        <v>49</v>
      </c>
      <c r="E219" s="4">
        <v>0.35</v>
      </c>
      <c r="F219" s="11" t="s">
        <v>1192</v>
      </c>
      <c r="G219" s="11" t="s">
        <v>1193</v>
      </c>
      <c r="H219" s="9" t="s">
        <v>1591</v>
      </c>
    </row>
    <row r="220" spans="1:8" s="9" customFormat="1" x14ac:dyDescent="0.25">
      <c r="A220" s="3" t="s">
        <v>9</v>
      </c>
      <c r="B220" s="13" t="s">
        <v>1195</v>
      </c>
      <c r="C220" s="9" t="s">
        <v>1182</v>
      </c>
      <c r="D220" s="9" t="s">
        <v>1194</v>
      </c>
      <c r="E220" s="4">
        <v>0.35</v>
      </c>
      <c r="F220" s="11" t="s">
        <v>589</v>
      </c>
      <c r="G220" s="11" t="s">
        <v>1196</v>
      </c>
      <c r="H220" s="9" t="s">
        <v>1591</v>
      </c>
    </row>
    <row r="221" spans="1:8" s="9" customFormat="1" x14ac:dyDescent="0.25">
      <c r="A221" s="3" t="s">
        <v>9</v>
      </c>
      <c r="B221" s="13" t="s">
        <v>1197</v>
      </c>
      <c r="C221" s="9" t="s">
        <v>1182</v>
      </c>
      <c r="D221" s="9" t="s">
        <v>1194</v>
      </c>
      <c r="E221" s="4">
        <v>0.28000000000000003</v>
      </c>
      <c r="F221" s="11" t="s">
        <v>589</v>
      </c>
      <c r="G221" s="11" t="s">
        <v>1198</v>
      </c>
      <c r="H221" s="9" t="s">
        <v>1591</v>
      </c>
    </row>
    <row r="222" spans="1:8" s="9" customFormat="1" x14ac:dyDescent="0.25">
      <c r="A222" s="3" t="s">
        <v>9</v>
      </c>
      <c r="B222" s="13" t="s">
        <v>1199</v>
      </c>
      <c r="C222" s="9" t="s">
        <v>1182</v>
      </c>
      <c r="D222" s="9" t="s">
        <v>1194</v>
      </c>
      <c r="E222" s="15">
        <v>0.3</v>
      </c>
      <c r="F222" s="11" t="s">
        <v>589</v>
      </c>
      <c r="G222" s="11" t="s">
        <v>1200</v>
      </c>
      <c r="H222" s="9" t="s">
        <v>1591</v>
      </c>
    </row>
    <row r="223" spans="1:8" s="9" customFormat="1" x14ac:dyDescent="0.25">
      <c r="A223" s="3" t="s">
        <v>9</v>
      </c>
      <c r="B223" s="13" t="s">
        <v>1201</v>
      </c>
      <c r="C223" s="9" t="s">
        <v>1182</v>
      </c>
      <c r="D223" s="9" t="s">
        <v>1202</v>
      </c>
      <c r="E223" s="15">
        <v>0.1</v>
      </c>
      <c r="F223" s="11" t="s">
        <v>202</v>
      </c>
      <c r="G223" s="11" t="s">
        <v>1120</v>
      </c>
      <c r="H223" s="9" t="s">
        <v>1591</v>
      </c>
    </row>
    <row r="224" spans="1:8" s="21" customFormat="1" x14ac:dyDescent="0.25">
      <c r="A224" s="20" t="s">
        <v>9</v>
      </c>
      <c r="B224" s="33" t="s">
        <v>1203</v>
      </c>
      <c r="C224" s="21" t="s">
        <v>1182</v>
      </c>
      <c r="D224" s="21" t="s">
        <v>9</v>
      </c>
      <c r="E224" s="24" t="s">
        <v>455</v>
      </c>
      <c r="F224" s="21" t="s">
        <v>941</v>
      </c>
      <c r="G224" s="21" t="s">
        <v>1204</v>
      </c>
      <c r="H224" s="21" t="s">
        <v>1591</v>
      </c>
    </row>
    <row r="225" spans="1:8" s="9" customFormat="1" x14ac:dyDescent="0.25">
      <c r="A225" s="3" t="s">
        <v>9</v>
      </c>
      <c r="B225" s="13" t="s">
        <v>1205</v>
      </c>
      <c r="C225" s="9" t="s">
        <v>1182</v>
      </c>
      <c r="D225" s="9" t="s">
        <v>9</v>
      </c>
      <c r="E225" s="15">
        <v>0.4</v>
      </c>
      <c r="F225" s="11" t="s">
        <v>1206</v>
      </c>
      <c r="G225" s="11" t="s">
        <v>1207</v>
      </c>
      <c r="H225" s="9" t="s">
        <v>1591</v>
      </c>
    </row>
    <row r="226" spans="1:8" s="9" customFormat="1" x14ac:dyDescent="0.25">
      <c r="A226" s="3" t="s">
        <v>9</v>
      </c>
      <c r="B226" s="13" t="s">
        <v>1208</v>
      </c>
      <c r="C226" s="9" t="s">
        <v>1182</v>
      </c>
      <c r="D226" s="9" t="s">
        <v>9</v>
      </c>
      <c r="E226" s="15">
        <v>0.2</v>
      </c>
      <c r="F226" s="11" t="s">
        <v>859</v>
      </c>
      <c r="G226" s="11" t="s">
        <v>1209</v>
      </c>
      <c r="H226" s="9" t="s">
        <v>1591</v>
      </c>
    </row>
    <row r="227" spans="1:8" s="9" customFormat="1" x14ac:dyDescent="0.25">
      <c r="A227" s="3" t="s">
        <v>9</v>
      </c>
      <c r="B227" s="13" t="s">
        <v>1210</v>
      </c>
      <c r="C227" s="9" t="s">
        <v>1182</v>
      </c>
      <c r="D227" s="9" t="s">
        <v>1202</v>
      </c>
      <c r="E227" s="4">
        <v>0.42</v>
      </c>
      <c r="F227" s="11" t="s">
        <v>96</v>
      </c>
      <c r="G227" s="11" t="s">
        <v>1211</v>
      </c>
      <c r="H227" s="9" t="s">
        <v>1591</v>
      </c>
    </row>
    <row r="228" spans="1:8" s="9" customFormat="1" x14ac:dyDescent="0.25">
      <c r="A228" s="3" t="s">
        <v>9</v>
      </c>
      <c r="B228" s="13" t="s">
        <v>1212</v>
      </c>
      <c r="C228" s="9" t="s">
        <v>1182</v>
      </c>
      <c r="D228" s="9" t="s">
        <v>9</v>
      </c>
      <c r="E228" s="4">
        <v>0.22</v>
      </c>
      <c r="F228" s="11" t="s">
        <v>859</v>
      </c>
      <c r="G228" s="11" t="s">
        <v>1213</v>
      </c>
      <c r="H228" s="9" t="s">
        <v>1591</v>
      </c>
    </row>
    <row r="229" spans="1:8" s="9" customFormat="1" x14ac:dyDescent="0.25">
      <c r="A229" s="3" t="s">
        <v>9</v>
      </c>
      <c r="B229" s="13" t="s">
        <v>1214</v>
      </c>
      <c r="C229" s="9" t="s">
        <v>1182</v>
      </c>
      <c r="D229" s="9" t="s">
        <v>9</v>
      </c>
      <c r="E229" s="15">
        <v>0.1</v>
      </c>
      <c r="F229" s="11" t="s">
        <v>859</v>
      </c>
      <c r="G229" s="11" t="s">
        <v>893</v>
      </c>
      <c r="H229" s="9" t="s">
        <v>1591</v>
      </c>
    </row>
    <row r="230" spans="1:8" s="9" customFormat="1" x14ac:dyDescent="0.25">
      <c r="A230" s="3" t="s">
        <v>9</v>
      </c>
      <c r="B230" s="13" t="s">
        <v>1215</v>
      </c>
      <c r="C230" s="9" t="s">
        <v>1182</v>
      </c>
      <c r="D230" s="9" t="s">
        <v>49</v>
      </c>
      <c r="E230" s="4">
        <v>0.87</v>
      </c>
      <c r="F230" s="11" t="s">
        <v>47</v>
      </c>
      <c r="G230" s="11" t="s">
        <v>1216</v>
      </c>
      <c r="H230" s="9" t="s">
        <v>1591</v>
      </c>
    </row>
    <row r="231" spans="1:8" s="9" customFormat="1" x14ac:dyDescent="0.25">
      <c r="A231" s="3" t="s">
        <v>9</v>
      </c>
      <c r="B231" s="13" t="s">
        <v>1217</v>
      </c>
      <c r="C231" s="9" t="s">
        <v>1182</v>
      </c>
      <c r="D231" s="9" t="s">
        <v>9</v>
      </c>
      <c r="E231" s="4">
        <v>0.92</v>
      </c>
      <c r="F231" s="11" t="s">
        <v>859</v>
      </c>
      <c r="G231" s="11" t="s">
        <v>1213</v>
      </c>
      <c r="H231" s="9" t="s">
        <v>1591</v>
      </c>
    </row>
    <row r="232" spans="1:8" s="9" customFormat="1" x14ac:dyDescent="0.25">
      <c r="A232" s="3" t="s">
        <v>9</v>
      </c>
      <c r="B232" s="13" t="s">
        <v>1218</v>
      </c>
      <c r="C232" s="9" t="s">
        <v>1182</v>
      </c>
      <c r="D232" s="9" t="s">
        <v>1219</v>
      </c>
      <c r="E232" s="4">
        <v>0.27</v>
      </c>
      <c r="F232" s="11" t="s">
        <v>96</v>
      </c>
      <c r="G232" s="11"/>
      <c r="H232" s="9" t="s">
        <v>1591</v>
      </c>
    </row>
    <row r="233" spans="1:8" s="9" customFormat="1" x14ac:dyDescent="0.25">
      <c r="A233" s="3" t="s">
        <v>9</v>
      </c>
      <c r="B233" s="13" t="s">
        <v>1220</v>
      </c>
      <c r="C233" s="9" t="s">
        <v>1182</v>
      </c>
      <c r="D233" s="9" t="s">
        <v>49</v>
      </c>
      <c r="E233" s="19">
        <f>(48+154+9537+9229)/5280</f>
        <v>3.5924242424242423</v>
      </c>
      <c r="F233" s="11" t="s">
        <v>12</v>
      </c>
      <c r="G233" s="11" t="s">
        <v>1221</v>
      </c>
      <c r="H233" s="9" t="s">
        <v>1591</v>
      </c>
    </row>
    <row r="234" spans="1:8" s="9" customFormat="1" x14ac:dyDescent="0.25">
      <c r="A234" s="3" t="s">
        <v>9</v>
      </c>
      <c r="B234" s="13" t="s">
        <v>1222</v>
      </c>
      <c r="C234" s="9" t="s">
        <v>1182</v>
      </c>
      <c r="D234" s="9" t="s">
        <v>1219</v>
      </c>
      <c r="E234" s="15">
        <v>1.1000000000000001</v>
      </c>
      <c r="F234" s="11" t="s">
        <v>202</v>
      </c>
      <c r="G234" s="11" t="s">
        <v>1223</v>
      </c>
      <c r="H234" s="9" t="s">
        <v>1591</v>
      </c>
    </row>
    <row r="235" spans="1:8" s="9" customFormat="1" x14ac:dyDescent="0.25">
      <c r="A235" s="3" t="s">
        <v>9</v>
      </c>
      <c r="B235" s="13" t="s">
        <v>1224</v>
      </c>
      <c r="C235" s="9" t="s">
        <v>1182</v>
      </c>
      <c r="D235" s="9" t="s">
        <v>9</v>
      </c>
      <c r="E235" s="4">
        <v>0.35</v>
      </c>
      <c r="F235" s="11" t="s">
        <v>202</v>
      </c>
      <c r="G235" s="11" t="s">
        <v>1225</v>
      </c>
      <c r="H235" s="9" t="s">
        <v>1591</v>
      </c>
    </row>
    <row r="236" spans="1:8" s="9" customFormat="1" x14ac:dyDescent="0.25">
      <c r="A236" s="3" t="s">
        <v>9</v>
      </c>
      <c r="B236" s="13" t="s">
        <v>1226</v>
      </c>
      <c r="C236" s="9" t="s">
        <v>1182</v>
      </c>
      <c r="D236" s="9" t="s">
        <v>1219</v>
      </c>
      <c r="E236" s="4">
        <v>0.41</v>
      </c>
      <c r="F236" s="11" t="s">
        <v>96</v>
      </c>
      <c r="G236" s="11" t="s">
        <v>1227</v>
      </c>
      <c r="H236" s="9" t="s">
        <v>1591</v>
      </c>
    </row>
    <row r="237" spans="1:8" s="9" customFormat="1" x14ac:dyDescent="0.25">
      <c r="A237" s="3" t="s">
        <v>9</v>
      </c>
      <c r="B237" s="13" t="s">
        <v>1228</v>
      </c>
      <c r="C237" s="9" t="s">
        <v>1182</v>
      </c>
      <c r="D237" s="9" t="s">
        <v>9</v>
      </c>
      <c r="E237" s="4">
        <v>0.36</v>
      </c>
      <c r="F237" s="11" t="s">
        <v>859</v>
      </c>
      <c r="G237" s="11"/>
      <c r="H237" s="9" t="s">
        <v>1591</v>
      </c>
    </row>
    <row r="238" spans="1:8" s="9" customFormat="1" x14ac:dyDescent="0.25">
      <c r="A238" s="3" t="s">
        <v>9</v>
      </c>
      <c r="B238" s="13" t="s">
        <v>1230</v>
      </c>
      <c r="C238" s="9" t="s">
        <v>1231</v>
      </c>
      <c r="D238" s="9" t="s">
        <v>1229</v>
      </c>
      <c r="E238" s="4">
        <v>3.62</v>
      </c>
      <c r="F238" s="11" t="s">
        <v>75</v>
      </c>
      <c r="G238" s="11" t="s">
        <v>1235</v>
      </c>
      <c r="H238" s="11" t="s">
        <v>1593</v>
      </c>
    </row>
    <row r="239" spans="1:8" s="9" customFormat="1" x14ac:dyDescent="0.25">
      <c r="A239" s="3" t="s">
        <v>9</v>
      </c>
      <c r="B239" s="13" t="s">
        <v>1232</v>
      </c>
      <c r="C239" s="9" t="s">
        <v>1231</v>
      </c>
      <c r="D239" s="9" t="s">
        <v>1233</v>
      </c>
      <c r="E239" s="4">
        <f>4.94+3.78</f>
        <v>8.7200000000000006</v>
      </c>
      <c r="F239" s="11" t="s">
        <v>75</v>
      </c>
      <c r="G239" s="11" t="s">
        <v>1238</v>
      </c>
      <c r="H239" s="11" t="s">
        <v>1593</v>
      </c>
    </row>
    <row r="240" spans="1:8" s="9" customFormat="1" x14ac:dyDescent="0.25">
      <c r="A240" s="3" t="s">
        <v>9</v>
      </c>
      <c r="B240" s="5" t="s">
        <v>1234</v>
      </c>
      <c r="C240" s="9" t="s">
        <v>1231</v>
      </c>
      <c r="D240" s="9" t="s">
        <v>68</v>
      </c>
      <c r="E240" s="4">
        <v>0.57999999999999996</v>
      </c>
      <c r="F240" s="11" t="s">
        <v>74</v>
      </c>
      <c r="G240" s="11" t="s">
        <v>395</v>
      </c>
      <c r="H240" s="11" t="s">
        <v>1593</v>
      </c>
    </row>
    <row r="241" spans="1:8" s="9" customFormat="1" x14ac:dyDescent="0.25">
      <c r="A241" s="3" t="s">
        <v>9</v>
      </c>
      <c r="B241" s="13" t="s">
        <v>1300</v>
      </c>
      <c r="C241" s="9" t="s">
        <v>1231</v>
      </c>
      <c r="D241" s="9" t="s">
        <v>1229</v>
      </c>
      <c r="E241" s="4">
        <v>0.46</v>
      </c>
      <c r="F241" s="11" t="s">
        <v>75</v>
      </c>
      <c r="G241" s="11" t="s">
        <v>1239</v>
      </c>
      <c r="H241" s="9" t="s">
        <v>1594</v>
      </c>
    </row>
    <row r="242" spans="1:8" s="9" customFormat="1" x14ac:dyDescent="0.25">
      <c r="A242" s="3" t="s">
        <v>9</v>
      </c>
      <c r="B242" s="13" t="s">
        <v>1240</v>
      </c>
      <c r="C242" s="9" t="s">
        <v>1231</v>
      </c>
      <c r="D242" s="9" t="s">
        <v>1229</v>
      </c>
      <c r="E242" s="4">
        <v>0.08</v>
      </c>
      <c r="F242" s="11" t="s">
        <v>75</v>
      </c>
      <c r="G242" s="11"/>
      <c r="H242" s="9" t="s">
        <v>1594</v>
      </c>
    </row>
    <row r="243" spans="1:8" s="9" customFormat="1" x14ac:dyDescent="0.25">
      <c r="A243" s="3" t="s">
        <v>9</v>
      </c>
      <c r="B243" s="13" t="s">
        <v>1301</v>
      </c>
      <c r="C243" s="9" t="s">
        <v>1231</v>
      </c>
      <c r="D243" s="5" t="s">
        <v>920</v>
      </c>
      <c r="E243" s="4">
        <v>0.25</v>
      </c>
      <c r="F243" s="11" t="s">
        <v>75</v>
      </c>
      <c r="G243" s="11" t="s">
        <v>1241</v>
      </c>
      <c r="H243" s="9" t="s">
        <v>1594</v>
      </c>
    </row>
    <row r="244" spans="1:8" s="9" customFormat="1" x14ac:dyDescent="0.25">
      <c r="A244" s="3" t="s">
        <v>9</v>
      </c>
      <c r="B244" s="13" t="s">
        <v>1266</v>
      </c>
      <c r="C244" s="9" t="s">
        <v>1231</v>
      </c>
      <c r="D244" s="9" t="s">
        <v>1243</v>
      </c>
      <c r="E244" s="4">
        <v>0.14000000000000001</v>
      </c>
      <c r="F244" s="11" t="s">
        <v>471</v>
      </c>
      <c r="G244" s="11"/>
      <c r="H244" s="9" t="s">
        <v>1594</v>
      </c>
    </row>
    <row r="245" spans="1:8" s="9" customFormat="1" x14ac:dyDescent="0.25">
      <c r="A245" s="3" t="s">
        <v>9</v>
      </c>
      <c r="B245" s="13" t="s">
        <v>1267</v>
      </c>
      <c r="C245" s="9" t="s">
        <v>1231</v>
      </c>
      <c r="D245" s="9" t="s">
        <v>1268</v>
      </c>
      <c r="E245" s="4">
        <v>0.48</v>
      </c>
      <c r="F245" s="11" t="s">
        <v>471</v>
      </c>
      <c r="G245" s="11" t="s">
        <v>1269</v>
      </c>
      <c r="H245" s="9" t="s">
        <v>1594</v>
      </c>
    </row>
    <row r="246" spans="1:8" s="9" customFormat="1" x14ac:dyDescent="0.25">
      <c r="A246" s="3" t="s">
        <v>9</v>
      </c>
      <c r="B246" s="13" t="s">
        <v>1270</v>
      </c>
      <c r="C246" s="9" t="s">
        <v>1231</v>
      </c>
      <c r="D246" s="9" t="s">
        <v>1271</v>
      </c>
      <c r="E246" s="4">
        <v>0.53</v>
      </c>
      <c r="F246" s="11" t="s">
        <v>1272</v>
      </c>
      <c r="G246" s="11" t="s">
        <v>1273</v>
      </c>
      <c r="H246" s="9" t="s">
        <v>1594</v>
      </c>
    </row>
    <row r="247" spans="1:8" s="9" customFormat="1" x14ac:dyDescent="0.25">
      <c r="A247" s="3" t="s">
        <v>9</v>
      </c>
      <c r="B247" s="13" t="s">
        <v>1242</v>
      </c>
      <c r="C247" s="9" t="s">
        <v>1231</v>
      </c>
      <c r="D247" s="9" t="s">
        <v>1268</v>
      </c>
      <c r="E247" s="4">
        <v>0.44</v>
      </c>
      <c r="F247" s="11" t="s">
        <v>471</v>
      </c>
      <c r="G247" s="11" t="s">
        <v>1274</v>
      </c>
      <c r="H247" s="9" t="s">
        <v>1594</v>
      </c>
    </row>
    <row r="248" spans="1:8" s="9" customFormat="1" x14ac:dyDescent="0.25">
      <c r="A248" s="3" t="s">
        <v>9</v>
      </c>
      <c r="B248" s="13" t="s">
        <v>1275</v>
      </c>
      <c r="C248" s="9" t="s">
        <v>1231</v>
      </c>
      <c r="D248" s="9" t="s">
        <v>1276</v>
      </c>
      <c r="E248" s="4">
        <v>0.35</v>
      </c>
      <c r="F248" s="11" t="s">
        <v>471</v>
      </c>
      <c r="G248" s="11" t="s">
        <v>266</v>
      </c>
      <c r="H248" s="9" t="s">
        <v>1594</v>
      </c>
    </row>
    <row r="249" spans="1:8" s="9" customFormat="1" x14ac:dyDescent="0.25">
      <c r="A249" s="3" t="s">
        <v>9</v>
      </c>
      <c r="B249" s="13" t="s">
        <v>1278</v>
      </c>
      <c r="C249" s="9" t="s">
        <v>1231</v>
      </c>
      <c r="D249" s="9" t="s">
        <v>1243</v>
      </c>
      <c r="E249" s="15">
        <f>991/5280</f>
        <v>0.18768939393939393</v>
      </c>
      <c r="F249" s="11" t="s">
        <v>96</v>
      </c>
      <c r="G249" s="11" t="s">
        <v>1244</v>
      </c>
      <c r="H249" s="9" t="s">
        <v>1594</v>
      </c>
    </row>
    <row r="250" spans="1:8" s="9" customFormat="1" x14ac:dyDescent="0.25">
      <c r="A250" s="3" t="s">
        <v>9</v>
      </c>
      <c r="B250" s="13" t="s">
        <v>1277</v>
      </c>
      <c r="C250" s="9" t="s">
        <v>1231</v>
      </c>
      <c r="D250" s="5" t="s">
        <v>1276</v>
      </c>
      <c r="E250" s="15">
        <f>504/5280</f>
        <v>9.5454545454545459E-2</v>
      </c>
      <c r="F250" s="11" t="s">
        <v>471</v>
      </c>
      <c r="G250" s="11"/>
      <c r="H250" s="9" t="s">
        <v>1594</v>
      </c>
    </row>
    <row r="251" spans="1:8" s="9" customFormat="1" x14ac:dyDescent="0.25">
      <c r="A251" s="3" t="s">
        <v>9</v>
      </c>
      <c r="B251" s="13" t="s">
        <v>1245</v>
      </c>
      <c r="C251" s="9" t="s">
        <v>1231</v>
      </c>
      <c r="D251" s="9" t="s">
        <v>1229</v>
      </c>
      <c r="E251" s="4">
        <f>0.23+0.78+0.26</f>
        <v>1.27</v>
      </c>
      <c r="F251" s="11" t="s">
        <v>75</v>
      </c>
      <c r="G251" s="11" t="s">
        <v>1246</v>
      </c>
      <c r="H251" s="9" t="s">
        <v>1594</v>
      </c>
    </row>
    <row r="252" spans="1:8" s="9" customFormat="1" x14ac:dyDescent="0.25">
      <c r="A252" s="3" t="s">
        <v>9</v>
      </c>
      <c r="B252" s="13" t="s">
        <v>1279</v>
      </c>
      <c r="C252" s="9" t="s">
        <v>1231</v>
      </c>
      <c r="D252" s="9" t="s">
        <v>1276</v>
      </c>
      <c r="E252" s="15">
        <f>744/5280</f>
        <v>0.1409090909090909</v>
      </c>
      <c r="F252" s="11" t="s">
        <v>471</v>
      </c>
      <c r="G252" s="11"/>
      <c r="H252" s="9" t="s">
        <v>1594</v>
      </c>
    </row>
    <row r="253" spans="1:8" s="9" customFormat="1" x14ac:dyDescent="0.25">
      <c r="A253" s="3" t="s">
        <v>9</v>
      </c>
      <c r="B253" s="13" t="s">
        <v>1247</v>
      </c>
      <c r="C253" s="9" t="s">
        <v>1231</v>
      </c>
      <c r="D253" s="9" t="s">
        <v>1243</v>
      </c>
      <c r="E253" s="4">
        <v>0.26</v>
      </c>
      <c r="F253" s="11" t="s">
        <v>96</v>
      </c>
      <c r="G253" s="11" t="s">
        <v>1248</v>
      </c>
      <c r="H253" s="9" t="s">
        <v>1594</v>
      </c>
    </row>
    <row r="254" spans="1:8" s="9" customFormat="1" x14ac:dyDescent="0.25">
      <c r="A254" s="3" t="s">
        <v>9</v>
      </c>
      <c r="B254" s="13" t="s">
        <v>1250</v>
      </c>
      <c r="C254" s="5" t="s">
        <v>1231</v>
      </c>
      <c r="D254" s="9" t="s">
        <v>1243</v>
      </c>
      <c r="E254" s="4">
        <f>0.82+0.14</f>
        <v>0.96</v>
      </c>
      <c r="F254" s="11" t="s">
        <v>96</v>
      </c>
      <c r="G254" s="11" t="s">
        <v>1249</v>
      </c>
      <c r="H254" s="9" t="s">
        <v>1594</v>
      </c>
    </row>
    <row r="255" spans="1:8" s="9" customFormat="1" x14ac:dyDescent="0.25">
      <c r="A255" s="3" t="s">
        <v>9</v>
      </c>
      <c r="B255" s="13" t="s">
        <v>1280</v>
      </c>
      <c r="C255" s="9" t="s">
        <v>1231</v>
      </c>
      <c r="D255" s="5" t="s">
        <v>1281</v>
      </c>
      <c r="E255" s="15">
        <f>1483/5280</f>
        <v>0.28087121212121213</v>
      </c>
      <c r="F255" s="11" t="s">
        <v>471</v>
      </c>
      <c r="G255" s="11"/>
      <c r="H255" s="9" t="s">
        <v>1594</v>
      </c>
    </row>
    <row r="256" spans="1:8" s="9" customFormat="1" x14ac:dyDescent="0.25">
      <c r="A256" s="3" t="s">
        <v>9</v>
      </c>
      <c r="B256" s="13" t="s">
        <v>1283</v>
      </c>
      <c r="C256" s="9" t="s">
        <v>1231</v>
      </c>
      <c r="D256" s="9" t="s">
        <v>1282</v>
      </c>
      <c r="E256" s="15">
        <v>0.32</v>
      </c>
      <c r="F256" s="11" t="s">
        <v>471</v>
      </c>
      <c r="G256" s="11" t="s">
        <v>1284</v>
      </c>
      <c r="H256" s="9" t="s">
        <v>1594</v>
      </c>
    </row>
    <row r="257" spans="1:8" s="9" customFormat="1" x14ac:dyDescent="0.25">
      <c r="A257" s="3" t="s">
        <v>9</v>
      </c>
      <c r="B257" s="13" t="s">
        <v>1286</v>
      </c>
      <c r="C257" s="9" t="s">
        <v>1231</v>
      </c>
      <c r="D257" s="5" t="s">
        <v>1285</v>
      </c>
      <c r="E257" s="15">
        <v>0.36</v>
      </c>
      <c r="F257" s="11" t="s">
        <v>471</v>
      </c>
      <c r="G257" s="11" t="s">
        <v>1287</v>
      </c>
      <c r="H257" s="9" t="s">
        <v>1594</v>
      </c>
    </row>
    <row r="258" spans="1:8" s="9" customFormat="1" x14ac:dyDescent="0.25">
      <c r="A258" s="3" t="s">
        <v>9</v>
      </c>
      <c r="B258" s="13" t="s">
        <v>1251</v>
      </c>
      <c r="C258" s="9" t="s">
        <v>1231</v>
      </c>
      <c r="D258" s="9" t="s">
        <v>1253</v>
      </c>
      <c r="E258" s="15">
        <f>2596/5280</f>
        <v>0.49166666666666664</v>
      </c>
      <c r="F258" s="11" t="s">
        <v>96</v>
      </c>
      <c r="G258" s="11" t="s">
        <v>1252</v>
      </c>
      <c r="H258" s="9" t="s">
        <v>1594</v>
      </c>
    </row>
    <row r="259" spans="1:8" s="9" customFormat="1" x14ac:dyDescent="0.25">
      <c r="A259" s="3" t="s">
        <v>9</v>
      </c>
      <c r="B259" s="13" t="s">
        <v>1254</v>
      </c>
      <c r="C259" s="9" t="s">
        <v>1231</v>
      </c>
      <c r="D259" s="5" t="s">
        <v>1229</v>
      </c>
      <c r="E259" s="15">
        <f>(5583)/5280</f>
        <v>1.0573863636363636</v>
      </c>
      <c r="F259" s="11" t="s">
        <v>471</v>
      </c>
      <c r="G259" s="11" t="s">
        <v>1255</v>
      </c>
      <c r="H259" s="9" t="s">
        <v>1594</v>
      </c>
    </row>
    <row r="260" spans="1:8" s="9" customFormat="1" x14ac:dyDescent="0.25">
      <c r="A260" s="3" t="s">
        <v>9</v>
      </c>
      <c r="B260" s="13" t="s">
        <v>1256</v>
      </c>
      <c r="C260" s="9" t="s">
        <v>1231</v>
      </c>
      <c r="D260" s="5" t="s">
        <v>1299</v>
      </c>
      <c r="E260" s="15">
        <f>(765+813)/5280</f>
        <v>0.29886363636363639</v>
      </c>
      <c r="F260" s="11" t="s">
        <v>471</v>
      </c>
      <c r="G260" s="14" t="s">
        <v>1298</v>
      </c>
      <c r="H260" s="9" t="s">
        <v>1594</v>
      </c>
    </row>
    <row r="261" spans="1:8" s="9" customFormat="1" x14ac:dyDescent="0.25">
      <c r="A261" s="3" t="s">
        <v>9</v>
      </c>
      <c r="B261" s="13" t="s">
        <v>1288</v>
      </c>
      <c r="C261" s="9" t="s">
        <v>1231</v>
      </c>
      <c r="D261" s="5" t="s">
        <v>1289</v>
      </c>
      <c r="E261" s="15">
        <v>1.52</v>
      </c>
      <c r="F261" s="11" t="s">
        <v>75</v>
      </c>
      <c r="G261" s="12"/>
      <c r="H261" s="9" t="s">
        <v>1594</v>
      </c>
    </row>
    <row r="262" spans="1:8" s="9" customFormat="1" x14ac:dyDescent="0.25">
      <c r="A262" s="3" t="s">
        <v>9</v>
      </c>
      <c r="B262" s="13" t="s">
        <v>1290</v>
      </c>
      <c r="C262" s="9" t="s">
        <v>1231</v>
      </c>
      <c r="D262" s="5" t="s">
        <v>1229</v>
      </c>
      <c r="E262" s="15">
        <v>0.08</v>
      </c>
      <c r="F262" s="11" t="s">
        <v>75</v>
      </c>
      <c r="G262" s="14" t="s">
        <v>1291</v>
      </c>
      <c r="H262" s="9" t="s">
        <v>1594</v>
      </c>
    </row>
    <row r="263" spans="1:8" s="9" customFormat="1" x14ac:dyDescent="0.25">
      <c r="A263" s="3" t="s">
        <v>9</v>
      </c>
      <c r="B263" s="13" t="s">
        <v>1292</v>
      </c>
      <c r="C263" s="9" t="s">
        <v>1231</v>
      </c>
      <c r="D263" s="9" t="s">
        <v>1229</v>
      </c>
      <c r="E263" s="15">
        <f>609/5280</f>
        <v>0.11534090909090909</v>
      </c>
      <c r="F263" s="11" t="s">
        <v>75</v>
      </c>
      <c r="G263" s="11" t="s">
        <v>1293</v>
      </c>
      <c r="H263" s="9" t="s">
        <v>1594</v>
      </c>
    </row>
    <row r="264" spans="1:8" s="9" customFormat="1" x14ac:dyDescent="0.25">
      <c r="A264" s="3" t="s">
        <v>9</v>
      </c>
      <c r="B264" s="13" t="s">
        <v>1294</v>
      </c>
      <c r="C264" s="9" t="s">
        <v>1231</v>
      </c>
      <c r="D264" s="5" t="s">
        <v>1243</v>
      </c>
      <c r="E264" s="15">
        <v>0.19</v>
      </c>
      <c r="F264" s="11" t="s">
        <v>96</v>
      </c>
      <c r="G264" s="11"/>
      <c r="H264" s="9" t="s">
        <v>1594</v>
      </c>
    </row>
    <row r="265" spans="1:8" s="9" customFormat="1" x14ac:dyDescent="0.25">
      <c r="A265" s="3" t="s">
        <v>9</v>
      </c>
      <c r="B265" s="13" t="s">
        <v>1258</v>
      </c>
      <c r="C265" s="9" t="s">
        <v>1231</v>
      </c>
      <c r="D265" s="9" t="s">
        <v>1229</v>
      </c>
      <c r="E265" s="15">
        <f>(4698+1564)/5280</f>
        <v>1.1859848484848485</v>
      </c>
      <c r="F265" s="11" t="s">
        <v>75</v>
      </c>
      <c r="G265" s="11" t="s">
        <v>1259</v>
      </c>
      <c r="H265" s="9" t="s">
        <v>1594</v>
      </c>
    </row>
    <row r="266" spans="1:8" s="9" customFormat="1" x14ac:dyDescent="0.25">
      <c r="A266" s="3" t="s">
        <v>9</v>
      </c>
      <c r="B266" s="13" t="s">
        <v>1295</v>
      </c>
      <c r="C266" s="9" t="s">
        <v>1231</v>
      </c>
      <c r="D266" s="5" t="s">
        <v>1281</v>
      </c>
      <c r="E266" s="15">
        <f>632/5280</f>
        <v>0.11969696969696969</v>
      </c>
      <c r="F266" s="11" t="s">
        <v>1296</v>
      </c>
      <c r="G266" s="14" t="s">
        <v>1297</v>
      </c>
      <c r="H266" s="9" t="s">
        <v>1594</v>
      </c>
    </row>
    <row r="267" spans="1:8" s="9" customFormat="1" x14ac:dyDescent="0.25">
      <c r="A267" s="3" t="s">
        <v>9</v>
      </c>
      <c r="B267" s="13" t="s">
        <v>1260</v>
      </c>
      <c r="C267" s="9" t="s">
        <v>1231</v>
      </c>
      <c r="D267" s="9" t="s">
        <v>1243</v>
      </c>
      <c r="E267" s="15">
        <v>0.1</v>
      </c>
      <c r="F267" s="11" t="s">
        <v>96</v>
      </c>
      <c r="G267" s="11"/>
      <c r="H267" s="9" t="s">
        <v>1594</v>
      </c>
    </row>
    <row r="268" spans="1:8" s="9" customFormat="1" x14ac:dyDescent="0.25">
      <c r="A268" s="3" t="s">
        <v>9</v>
      </c>
      <c r="B268" s="13" t="s">
        <v>1261</v>
      </c>
      <c r="C268" s="9" t="s">
        <v>1231</v>
      </c>
      <c r="D268" s="9" t="s">
        <v>1243</v>
      </c>
      <c r="E268" s="4">
        <v>0.18</v>
      </c>
      <c r="F268" s="11" t="s">
        <v>96</v>
      </c>
      <c r="G268" s="11"/>
      <c r="H268" s="9" t="s">
        <v>1594</v>
      </c>
    </row>
    <row r="269" spans="1:8" s="9" customFormat="1" x14ac:dyDescent="0.25">
      <c r="A269" s="3" t="s">
        <v>9</v>
      </c>
      <c r="B269" s="13" t="s">
        <v>1262</v>
      </c>
      <c r="C269" s="9" t="s">
        <v>1231</v>
      </c>
      <c r="D269" s="9" t="s">
        <v>1229</v>
      </c>
      <c r="E269" s="15">
        <f>838/5280</f>
        <v>0.15871212121212122</v>
      </c>
      <c r="F269" s="11"/>
      <c r="G269" s="11" t="s">
        <v>1263</v>
      </c>
      <c r="H269" s="9" t="s">
        <v>1594</v>
      </c>
    </row>
    <row r="270" spans="1:8" s="9" customFormat="1" x14ac:dyDescent="0.25">
      <c r="A270" s="3" t="s">
        <v>9</v>
      </c>
      <c r="B270" s="13" t="s">
        <v>1264</v>
      </c>
      <c r="C270" s="9" t="s">
        <v>1231</v>
      </c>
      <c r="D270" s="9" t="s">
        <v>1243</v>
      </c>
      <c r="E270" s="4">
        <v>0.04</v>
      </c>
      <c r="F270" s="11" t="s">
        <v>96</v>
      </c>
      <c r="G270" s="11" t="s">
        <v>1265</v>
      </c>
      <c r="H270" s="9" t="s">
        <v>1594</v>
      </c>
    </row>
    <row r="271" spans="1:8" x14ac:dyDescent="0.25">
      <c r="A271" s="3" t="s">
        <v>9</v>
      </c>
      <c r="B271" s="13" t="s">
        <v>1236</v>
      </c>
      <c r="C271" s="9" t="s">
        <v>1231</v>
      </c>
      <c r="D271" s="9" t="s">
        <v>1237</v>
      </c>
      <c r="E271" s="31">
        <f>13634/5280</f>
        <v>2.5821969696969695</v>
      </c>
      <c r="F271" s="11" t="s">
        <v>454</v>
      </c>
      <c r="G271" s="11" t="s">
        <v>1257</v>
      </c>
      <c r="H271" s="11" t="s">
        <v>1593</v>
      </c>
    </row>
    <row r="272" spans="1:8" s="21" customFormat="1" x14ac:dyDescent="0.25">
      <c r="A272" s="20" t="s">
        <v>9</v>
      </c>
      <c r="B272" s="33" t="s">
        <v>1302</v>
      </c>
      <c r="C272" s="21" t="s">
        <v>1303</v>
      </c>
      <c r="D272" s="21" t="s">
        <v>9</v>
      </c>
      <c r="E272" s="24" t="s">
        <v>455</v>
      </c>
      <c r="F272" s="21" t="s">
        <v>855</v>
      </c>
      <c r="G272" s="21" t="s">
        <v>266</v>
      </c>
      <c r="H272" s="21" t="s">
        <v>1592</v>
      </c>
    </row>
    <row r="273" spans="1:8" s="9" customFormat="1" x14ac:dyDescent="0.25">
      <c r="A273" s="3" t="s">
        <v>9</v>
      </c>
      <c r="B273" s="13" t="s">
        <v>1304</v>
      </c>
      <c r="C273" s="9" t="s">
        <v>1303</v>
      </c>
      <c r="D273" s="9" t="s">
        <v>1310</v>
      </c>
      <c r="E273" s="4">
        <f>2.15+3.32</f>
        <v>5.47</v>
      </c>
      <c r="F273" s="11" t="s">
        <v>1308</v>
      </c>
      <c r="G273" s="11" t="s">
        <v>1309</v>
      </c>
      <c r="H273" s="9" t="s">
        <v>1592</v>
      </c>
    </row>
    <row r="274" spans="1:8" s="9" customFormat="1" x14ac:dyDescent="0.25">
      <c r="A274" s="3" t="s">
        <v>9</v>
      </c>
      <c r="B274" s="13" t="s">
        <v>1305</v>
      </c>
      <c r="C274" s="9" t="s">
        <v>1303</v>
      </c>
      <c r="D274" s="9" t="s">
        <v>1307</v>
      </c>
      <c r="E274" s="15">
        <f>451/5280</f>
        <v>8.5416666666666669E-2</v>
      </c>
      <c r="F274" s="11" t="s">
        <v>1306</v>
      </c>
      <c r="G274" s="11" t="s">
        <v>395</v>
      </c>
      <c r="H274" s="9" t="s">
        <v>1592</v>
      </c>
    </row>
    <row r="275" spans="1:8" s="9" customFormat="1" x14ac:dyDescent="0.25">
      <c r="A275" s="3" t="s">
        <v>9</v>
      </c>
      <c r="B275" s="13" t="s">
        <v>1311</v>
      </c>
      <c r="C275" s="9" t="s">
        <v>1303</v>
      </c>
      <c r="D275" s="9" t="s">
        <v>1312</v>
      </c>
      <c r="E275" s="4">
        <v>1.49</v>
      </c>
      <c r="F275" s="11" t="s">
        <v>75</v>
      </c>
      <c r="G275" s="11" t="s">
        <v>395</v>
      </c>
      <c r="H275" s="9" t="s">
        <v>1592</v>
      </c>
    </row>
    <row r="276" spans="1:8" s="9" customFormat="1" x14ac:dyDescent="0.25">
      <c r="A276" s="3" t="s">
        <v>9</v>
      </c>
      <c r="B276" s="13" t="s">
        <v>1318</v>
      </c>
      <c r="C276" s="9" t="s">
        <v>1303</v>
      </c>
      <c r="D276" s="9" t="s">
        <v>1314</v>
      </c>
      <c r="E276" s="4">
        <v>0.68</v>
      </c>
      <c r="F276" s="11" t="s">
        <v>75</v>
      </c>
      <c r="G276" s="11" t="s">
        <v>1319</v>
      </c>
      <c r="H276" s="9" t="s">
        <v>1592</v>
      </c>
    </row>
    <row r="277" spans="1:8" s="9" customFormat="1" x14ac:dyDescent="0.25">
      <c r="A277" s="3" t="s">
        <v>9</v>
      </c>
      <c r="B277" s="13" t="s">
        <v>1313</v>
      </c>
      <c r="C277" s="9" t="s">
        <v>1303</v>
      </c>
      <c r="D277" s="9" t="s">
        <v>1314</v>
      </c>
      <c r="E277" s="4">
        <v>2.38</v>
      </c>
      <c r="F277" s="11" t="s">
        <v>75</v>
      </c>
      <c r="G277" s="11" t="s">
        <v>395</v>
      </c>
      <c r="H277" s="9" t="s">
        <v>1592</v>
      </c>
    </row>
    <row r="278" spans="1:8" s="9" customFormat="1" x14ac:dyDescent="0.25">
      <c r="A278" s="3" t="s">
        <v>9</v>
      </c>
      <c r="B278" s="13" t="s">
        <v>1315</v>
      </c>
      <c r="C278" s="9" t="s">
        <v>1303</v>
      </c>
      <c r="D278" s="9" t="s">
        <v>1316</v>
      </c>
      <c r="E278" s="4">
        <v>0.97</v>
      </c>
      <c r="F278" s="11" t="s">
        <v>96</v>
      </c>
      <c r="G278" s="11" t="s">
        <v>395</v>
      </c>
      <c r="H278" s="9" t="s">
        <v>1592</v>
      </c>
    </row>
    <row r="279" spans="1:8" s="9" customFormat="1" x14ac:dyDescent="0.25">
      <c r="A279" s="3" t="s">
        <v>9</v>
      </c>
      <c r="B279" s="5" t="s">
        <v>1317</v>
      </c>
      <c r="C279" s="9" t="s">
        <v>1303</v>
      </c>
      <c r="D279" s="9" t="s">
        <v>35</v>
      </c>
      <c r="E279" s="4">
        <v>1.19</v>
      </c>
      <c r="F279" s="11" t="s">
        <v>1308</v>
      </c>
      <c r="H279" s="9" t="s">
        <v>1592</v>
      </c>
    </row>
    <row r="280" spans="1:8" s="9" customFormat="1" x14ac:dyDescent="0.25">
      <c r="A280" s="3" t="s">
        <v>9</v>
      </c>
      <c r="B280" s="5" t="s">
        <v>1320</v>
      </c>
      <c r="C280" s="9" t="s">
        <v>1303</v>
      </c>
      <c r="D280" s="9" t="s">
        <v>1321</v>
      </c>
      <c r="E280" s="4">
        <v>0.66</v>
      </c>
      <c r="F280" s="11" t="s">
        <v>96</v>
      </c>
      <c r="G280" s="11"/>
      <c r="H280" s="9" t="s">
        <v>1592</v>
      </c>
    </row>
    <row r="281" spans="1:8" s="9" customFormat="1" x14ac:dyDescent="0.25">
      <c r="A281" s="3" t="s">
        <v>9</v>
      </c>
      <c r="B281" s="5" t="s">
        <v>1322</v>
      </c>
      <c r="C281" s="9" t="s">
        <v>1303</v>
      </c>
      <c r="D281" s="9" t="s">
        <v>1324</v>
      </c>
      <c r="E281" s="4">
        <v>0.76</v>
      </c>
      <c r="F281" s="11" t="s">
        <v>96</v>
      </c>
      <c r="G281" s="11" t="s">
        <v>1323</v>
      </c>
      <c r="H281" s="9" t="s">
        <v>1592</v>
      </c>
    </row>
    <row r="282" spans="1:8" s="9" customFormat="1" x14ac:dyDescent="0.25">
      <c r="A282" s="3" t="s">
        <v>9</v>
      </c>
      <c r="B282" s="5" t="s">
        <v>1326</v>
      </c>
      <c r="C282" s="9" t="s">
        <v>1303</v>
      </c>
      <c r="D282" s="9" t="s">
        <v>1325</v>
      </c>
      <c r="E282" s="4">
        <v>0.93</v>
      </c>
      <c r="F282" s="11" t="s">
        <v>471</v>
      </c>
      <c r="G282" s="11" t="s">
        <v>1327</v>
      </c>
      <c r="H282" s="9" t="s">
        <v>1592</v>
      </c>
    </row>
    <row r="283" spans="1:8" s="9" customFormat="1" x14ac:dyDescent="0.25">
      <c r="A283" s="3" t="s">
        <v>9</v>
      </c>
      <c r="B283" s="5" t="s">
        <v>1329</v>
      </c>
      <c r="C283" s="9" t="s">
        <v>1303</v>
      </c>
      <c r="D283" s="9" t="s">
        <v>1328</v>
      </c>
      <c r="E283" s="4">
        <v>0.15</v>
      </c>
      <c r="F283" s="11" t="s">
        <v>471</v>
      </c>
      <c r="G283" s="11" t="s">
        <v>1330</v>
      </c>
      <c r="H283" s="9" t="s">
        <v>1592</v>
      </c>
    </row>
    <row r="284" spans="1:8" s="9" customFormat="1" x14ac:dyDescent="0.25">
      <c r="A284" s="3" t="s">
        <v>9</v>
      </c>
      <c r="B284" s="5" t="s">
        <v>1331</v>
      </c>
      <c r="C284" s="9" t="s">
        <v>1303</v>
      </c>
      <c r="D284" s="9" t="s">
        <v>1333</v>
      </c>
      <c r="E284" s="4">
        <v>1.88</v>
      </c>
      <c r="F284" s="11" t="s">
        <v>96</v>
      </c>
      <c r="G284" s="11" t="s">
        <v>1332</v>
      </c>
      <c r="H284" s="9" t="s">
        <v>1592</v>
      </c>
    </row>
    <row r="285" spans="1:8" s="11" customFormat="1" x14ac:dyDescent="0.25">
      <c r="A285" s="7" t="s">
        <v>9</v>
      </c>
      <c r="B285" s="14" t="s">
        <v>1334</v>
      </c>
      <c r="C285" s="11" t="s">
        <v>1303</v>
      </c>
      <c r="D285" s="11" t="s">
        <v>1531</v>
      </c>
      <c r="E285" s="19">
        <f>940/5280</f>
        <v>0.17803030303030304</v>
      </c>
      <c r="F285" s="11" t="s">
        <v>75</v>
      </c>
      <c r="H285" s="9" t="s">
        <v>1592</v>
      </c>
    </row>
    <row r="286" spans="1:8" s="11" customFormat="1" x14ac:dyDescent="0.25">
      <c r="A286" s="7" t="s">
        <v>9</v>
      </c>
      <c r="B286" s="14" t="s">
        <v>1334</v>
      </c>
      <c r="C286" s="11" t="s">
        <v>1303</v>
      </c>
      <c r="D286" s="11" t="s">
        <v>1529</v>
      </c>
      <c r="E286" s="30">
        <v>1.57</v>
      </c>
      <c r="F286" s="11" t="s">
        <v>96</v>
      </c>
      <c r="G286" s="11" t="s">
        <v>1590</v>
      </c>
      <c r="H286" s="9" t="s">
        <v>1592</v>
      </c>
    </row>
    <row r="287" spans="1:8" s="9" customFormat="1" x14ac:dyDescent="0.25">
      <c r="A287" s="3" t="s">
        <v>9</v>
      </c>
      <c r="B287" s="5" t="s">
        <v>1335</v>
      </c>
      <c r="C287" s="9" t="s">
        <v>1303</v>
      </c>
      <c r="D287" s="9" t="s">
        <v>1321</v>
      </c>
      <c r="E287" s="4">
        <v>0.23</v>
      </c>
      <c r="F287" s="11" t="s">
        <v>96</v>
      </c>
      <c r="G287" s="11" t="s">
        <v>1336</v>
      </c>
      <c r="H287" s="9" t="s">
        <v>1592</v>
      </c>
    </row>
    <row r="288" spans="1:8" s="9" customFormat="1" x14ac:dyDescent="0.25">
      <c r="A288" s="3" t="s">
        <v>9</v>
      </c>
      <c r="B288" s="5" t="s">
        <v>1338</v>
      </c>
      <c r="C288" s="9" t="s">
        <v>1303</v>
      </c>
      <c r="D288" s="9" t="s">
        <v>1337</v>
      </c>
      <c r="E288" s="4">
        <v>0.82</v>
      </c>
      <c r="F288" s="11" t="s">
        <v>12</v>
      </c>
      <c r="G288" s="11"/>
      <c r="H288" s="9" t="s">
        <v>1592</v>
      </c>
    </row>
    <row r="289" spans="1:8" s="9" customFormat="1" x14ac:dyDescent="0.25">
      <c r="A289" s="3" t="s">
        <v>9</v>
      </c>
      <c r="B289" s="5" t="s">
        <v>1339</v>
      </c>
      <c r="C289" s="9" t="s">
        <v>1303</v>
      </c>
      <c r="D289" s="9" t="s">
        <v>1340</v>
      </c>
      <c r="E289" s="15">
        <v>0.2</v>
      </c>
      <c r="F289" s="11" t="s">
        <v>125</v>
      </c>
      <c r="G289" s="11" t="s">
        <v>1341</v>
      </c>
      <c r="H289" s="9" t="s">
        <v>1592</v>
      </c>
    </row>
    <row r="290" spans="1:8" s="9" customFormat="1" x14ac:dyDescent="0.25">
      <c r="A290" s="3" t="s">
        <v>9</v>
      </c>
      <c r="B290" s="5" t="s">
        <v>1342</v>
      </c>
      <c r="C290" s="9" t="s">
        <v>1303</v>
      </c>
      <c r="D290" s="9" t="s">
        <v>1531</v>
      </c>
      <c r="E290" s="4">
        <f>0.71+0.14</f>
        <v>0.85</v>
      </c>
      <c r="F290" s="11" t="s">
        <v>75</v>
      </c>
      <c r="G290" s="11" t="s">
        <v>1343</v>
      </c>
      <c r="H290" s="9" t="s">
        <v>1592</v>
      </c>
    </row>
    <row r="291" spans="1:8" s="9" customFormat="1" x14ac:dyDescent="0.25">
      <c r="A291" s="3" t="s">
        <v>9</v>
      </c>
      <c r="B291" s="5" t="s">
        <v>1345</v>
      </c>
      <c r="C291" s="9" t="s">
        <v>1303</v>
      </c>
      <c r="D291" s="9" t="s">
        <v>1344</v>
      </c>
      <c r="E291" s="15">
        <f>0.3+0.15</f>
        <v>0.44999999999999996</v>
      </c>
      <c r="F291" s="11" t="s">
        <v>96</v>
      </c>
      <c r="G291" s="11"/>
      <c r="H291" s="9" t="s">
        <v>1592</v>
      </c>
    </row>
    <row r="292" spans="1:8" s="9" customFormat="1" x14ac:dyDescent="0.25">
      <c r="A292" s="3" t="s">
        <v>9</v>
      </c>
      <c r="B292" s="5" t="s">
        <v>1346</v>
      </c>
      <c r="C292" s="9" t="s">
        <v>1303</v>
      </c>
      <c r="D292" s="9" t="s">
        <v>9</v>
      </c>
      <c r="E292" s="4">
        <v>0.32</v>
      </c>
      <c r="F292" s="11" t="s">
        <v>859</v>
      </c>
      <c r="G292" s="11" t="s">
        <v>1347</v>
      </c>
      <c r="H292" s="9" t="s">
        <v>1592</v>
      </c>
    </row>
    <row r="293" spans="1:8" s="9" customFormat="1" x14ac:dyDescent="0.25">
      <c r="A293" s="3" t="s">
        <v>9</v>
      </c>
      <c r="B293" s="5" t="s">
        <v>1348</v>
      </c>
      <c r="C293" s="9" t="s">
        <v>1303</v>
      </c>
      <c r="D293" s="9" t="s">
        <v>1349</v>
      </c>
      <c r="E293" s="4">
        <v>0.18</v>
      </c>
      <c r="F293" s="11" t="s">
        <v>96</v>
      </c>
      <c r="G293" s="11" t="s">
        <v>1350</v>
      </c>
      <c r="H293" s="9" t="s">
        <v>1592</v>
      </c>
    </row>
    <row r="294" spans="1:8" x14ac:dyDescent="0.25">
      <c r="A294" s="3" t="s">
        <v>9</v>
      </c>
      <c r="B294" s="5" t="s">
        <v>1354</v>
      </c>
      <c r="C294" s="9" t="s">
        <v>1303</v>
      </c>
      <c r="D294" s="9" t="s">
        <v>9</v>
      </c>
      <c r="E294" s="4">
        <v>0.11</v>
      </c>
      <c r="F294" s="11" t="s">
        <v>859</v>
      </c>
      <c r="G294" s="11" t="s">
        <v>1035</v>
      </c>
      <c r="H294" s="9" t="s">
        <v>1592</v>
      </c>
    </row>
    <row r="295" spans="1:8" x14ac:dyDescent="0.25">
      <c r="A295" s="3" t="s">
        <v>9</v>
      </c>
      <c r="B295" s="5" t="s">
        <v>1351</v>
      </c>
      <c r="C295" t="s">
        <v>1303</v>
      </c>
      <c r="D295" t="s">
        <v>1352</v>
      </c>
      <c r="E295" s="34">
        <v>0.06</v>
      </c>
      <c r="F295" t="s">
        <v>96</v>
      </c>
      <c r="G295" t="s">
        <v>1353</v>
      </c>
      <c r="H295" s="9" t="s">
        <v>1592</v>
      </c>
    </row>
    <row r="296" spans="1:8" x14ac:dyDescent="0.25">
      <c r="A296" s="3" t="s">
        <v>9</v>
      </c>
      <c r="B296" s="5" t="s">
        <v>1355</v>
      </c>
      <c r="C296" t="s">
        <v>1303</v>
      </c>
      <c r="D296" t="s">
        <v>1352</v>
      </c>
      <c r="E296" s="34">
        <v>0.27</v>
      </c>
      <c r="F296" t="s">
        <v>96</v>
      </c>
      <c r="G296" t="s">
        <v>1356</v>
      </c>
      <c r="H296" s="9" t="s">
        <v>1592</v>
      </c>
    </row>
    <row r="297" spans="1:8" x14ac:dyDescent="0.25">
      <c r="A297" s="3" t="s">
        <v>9</v>
      </c>
      <c r="B297" s="5" t="s">
        <v>1357</v>
      </c>
      <c r="C297" t="s">
        <v>1303</v>
      </c>
      <c r="D297" t="s">
        <v>1358</v>
      </c>
      <c r="E297" s="34">
        <f>1.24+0.58</f>
        <v>1.8199999999999998</v>
      </c>
      <c r="F297" t="s">
        <v>96</v>
      </c>
      <c r="G297" t="s">
        <v>1359</v>
      </c>
      <c r="H297" s="9" t="s">
        <v>1592</v>
      </c>
    </row>
    <row r="298" spans="1:8" x14ac:dyDescent="0.25">
      <c r="A298" s="3" t="s">
        <v>9</v>
      </c>
      <c r="B298" s="5" t="s">
        <v>1360</v>
      </c>
      <c r="C298" t="s">
        <v>1303</v>
      </c>
      <c r="D298" t="s">
        <v>1530</v>
      </c>
      <c r="E298" s="31">
        <v>1</v>
      </c>
      <c r="F298" t="s">
        <v>75</v>
      </c>
      <c r="H298" s="9" t="s">
        <v>1592</v>
      </c>
    </row>
    <row r="299" spans="1:8" s="9" customFormat="1" x14ac:dyDescent="0.25">
      <c r="A299" s="3" t="s">
        <v>9</v>
      </c>
      <c r="B299" s="9" t="s">
        <v>1077</v>
      </c>
      <c r="C299" s="9" t="s">
        <v>1303</v>
      </c>
      <c r="D299" s="9" t="s">
        <v>923</v>
      </c>
      <c r="E299" s="4">
        <v>0.12</v>
      </c>
      <c r="F299" s="9" t="s">
        <v>275</v>
      </c>
      <c r="H299" s="9" t="s">
        <v>1592</v>
      </c>
    </row>
    <row r="300" spans="1:8" s="9" customFormat="1" x14ac:dyDescent="0.25">
      <c r="A300" s="3" t="s">
        <v>9</v>
      </c>
      <c r="B300" s="9" t="s">
        <v>1049</v>
      </c>
      <c r="C300" s="9" t="s">
        <v>1303</v>
      </c>
      <c r="D300" s="9" t="s">
        <v>68</v>
      </c>
      <c r="E300" s="4">
        <v>2.83</v>
      </c>
      <c r="F300" s="9" t="s">
        <v>74</v>
      </c>
      <c r="G300" s="9" t="s">
        <v>1361</v>
      </c>
      <c r="H300" s="9" t="s">
        <v>1592</v>
      </c>
    </row>
    <row r="302" spans="1:8" x14ac:dyDescent="0.25">
      <c r="D302" s="29" t="s">
        <v>329</v>
      </c>
      <c r="E302" s="18">
        <f>SUM(E2:E300)</f>
        <v>217.48892878787879</v>
      </c>
    </row>
    <row r="305" spans="1:2" x14ac:dyDescent="0.25">
      <c r="A305" s="43" t="s">
        <v>1598</v>
      </c>
      <c r="B305" s="43" t="s">
        <v>1609</v>
      </c>
    </row>
    <row r="306" spans="1:2" x14ac:dyDescent="0.25">
      <c r="B306" s="43" t="s">
        <v>1610</v>
      </c>
    </row>
    <row r="307" spans="1:2" x14ac:dyDescent="0.25">
      <c r="B307" s="43" t="s">
        <v>1614</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workbookViewId="0">
      <pane ySplit="1" topLeftCell="A2" activePane="bottomLeft" state="frozen"/>
      <selection pane="bottomLeft"/>
    </sheetView>
  </sheetViews>
  <sheetFormatPr defaultRowHeight="15" x14ac:dyDescent="0.25"/>
  <cols>
    <col min="1" max="1" width="12.42578125" customWidth="1"/>
    <col min="2" max="2" width="38" customWidth="1"/>
    <col min="3" max="3" width="14" customWidth="1"/>
    <col min="4" max="4" width="39.140625" customWidth="1"/>
    <col min="5" max="5" width="15.7109375" customWidth="1"/>
    <col min="6" max="6" width="49" customWidth="1"/>
    <col min="7" max="7" width="36.140625" customWidth="1"/>
    <col min="8" max="8" width="30.85546875" customWidth="1"/>
  </cols>
  <sheetData>
    <row r="1" spans="1:8" s="1" customFormat="1" ht="45" x14ac:dyDescent="0.25">
      <c r="A1" s="1" t="s">
        <v>0</v>
      </c>
      <c r="B1" s="1" t="s">
        <v>1</v>
      </c>
      <c r="C1" s="1" t="s">
        <v>2</v>
      </c>
      <c r="D1" s="1" t="s">
        <v>3</v>
      </c>
      <c r="E1" s="2" t="s">
        <v>71</v>
      </c>
      <c r="F1" s="1" t="s">
        <v>4</v>
      </c>
      <c r="G1" s="1" t="s">
        <v>5</v>
      </c>
      <c r="H1" s="1" t="s">
        <v>6</v>
      </c>
    </row>
    <row r="2" spans="1:8" s="9" customFormat="1" x14ac:dyDescent="0.25">
      <c r="A2" s="3" t="s">
        <v>10</v>
      </c>
      <c r="B2" s="9" t="s">
        <v>714</v>
      </c>
      <c r="C2" s="9" t="s">
        <v>683</v>
      </c>
      <c r="D2" s="9" t="s">
        <v>118</v>
      </c>
      <c r="E2" s="15">
        <f>(2283+1484+300)/5280</f>
        <v>0.77026515151515151</v>
      </c>
      <c r="F2" s="9" t="s">
        <v>75</v>
      </c>
      <c r="H2" s="9" t="s">
        <v>1595</v>
      </c>
    </row>
    <row r="3" spans="1:8" s="9" customFormat="1" x14ac:dyDescent="0.25">
      <c r="A3" s="3" t="s">
        <v>10</v>
      </c>
      <c r="B3" s="9" t="s">
        <v>690</v>
      </c>
      <c r="C3" s="9" t="s">
        <v>683</v>
      </c>
      <c r="D3" s="9" t="s">
        <v>685</v>
      </c>
      <c r="E3" s="15">
        <f>1172/5280</f>
        <v>0.22196969696969698</v>
      </c>
      <c r="F3" s="9" t="s">
        <v>158</v>
      </c>
      <c r="G3" s="9" t="s">
        <v>691</v>
      </c>
      <c r="H3" s="9" t="s">
        <v>1595</v>
      </c>
    </row>
    <row r="4" spans="1:8" s="9" customFormat="1" x14ac:dyDescent="0.25">
      <c r="A4" s="3" t="s">
        <v>10</v>
      </c>
      <c r="B4" s="9" t="s">
        <v>684</v>
      </c>
      <c r="C4" s="9" t="s">
        <v>683</v>
      </c>
      <c r="D4" s="9" t="s">
        <v>685</v>
      </c>
      <c r="E4" s="15">
        <f>487/5280</f>
        <v>9.2234848484848489E-2</v>
      </c>
      <c r="F4" s="9" t="s">
        <v>12</v>
      </c>
      <c r="H4" s="9" t="s">
        <v>1595</v>
      </c>
    </row>
    <row r="5" spans="1:8" s="9" customFormat="1" x14ac:dyDescent="0.25">
      <c r="A5" s="3" t="s">
        <v>10</v>
      </c>
      <c r="B5" s="9" t="s">
        <v>686</v>
      </c>
      <c r="C5" s="9" t="s">
        <v>683</v>
      </c>
      <c r="D5" s="9" t="s">
        <v>715</v>
      </c>
      <c r="E5" s="15">
        <f>1880/5280</f>
        <v>0.35606060606060608</v>
      </c>
      <c r="F5" s="9" t="s">
        <v>244</v>
      </c>
      <c r="G5" s="9" t="s">
        <v>687</v>
      </c>
      <c r="H5" s="9" t="s">
        <v>1595</v>
      </c>
    </row>
    <row r="6" spans="1:8" s="9" customFormat="1" x14ac:dyDescent="0.25">
      <c r="A6" s="3" t="s">
        <v>10</v>
      </c>
      <c r="B6" s="9" t="s">
        <v>688</v>
      </c>
      <c r="C6" s="9" t="s">
        <v>683</v>
      </c>
      <c r="D6" s="9" t="s">
        <v>118</v>
      </c>
      <c r="E6" s="15">
        <f>(1258+1451+184)/5280</f>
        <v>0.54791666666666672</v>
      </c>
      <c r="F6" s="9" t="s">
        <v>244</v>
      </c>
      <c r="G6" s="9" t="s">
        <v>689</v>
      </c>
      <c r="H6" s="9" t="s">
        <v>1595</v>
      </c>
    </row>
    <row r="7" spans="1:8" s="9" customFormat="1" x14ac:dyDescent="0.25">
      <c r="A7" s="3" t="s">
        <v>10</v>
      </c>
      <c r="B7" s="9" t="s">
        <v>692</v>
      </c>
      <c r="C7" s="9" t="s">
        <v>683</v>
      </c>
      <c r="D7" s="9" t="s">
        <v>693</v>
      </c>
      <c r="E7" s="15">
        <f>693/5280</f>
        <v>0.13125000000000001</v>
      </c>
      <c r="F7" s="9" t="s">
        <v>244</v>
      </c>
      <c r="H7" s="9" t="s">
        <v>1595</v>
      </c>
    </row>
    <row r="8" spans="1:8" s="9" customFormat="1" x14ac:dyDescent="0.25">
      <c r="A8" s="3" t="s">
        <v>10</v>
      </c>
      <c r="B8" s="9" t="s">
        <v>695</v>
      </c>
      <c r="C8" s="9" t="s">
        <v>683</v>
      </c>
      <c r="D8" s="9" t="s">
        <v>694</v>
      </c>
      <c r="E8" s="15">
        <f>(1565+188)/5280</f>
        <v>0.33200757575757578</v>
      </c>
      <c r="F8" s="9" t="s">
        <v>158</v>
      </c>
      <c r="G8" s="9" t="s">
        <v>697</v>
      </c>
      <c r="H8" s="9" t="s">
        <v>1595</v>
      </c>
    </row>
    <row r="9" spans="1:8" s="9" customFormat="1" x14ac:dyDescent="0.25">
      <c r="A9" s="3" t="s">
        <v>10</v>
      </c>
      <c r="B9" s="9" t="s">
        <v>696</v>
      </c>
      <c r="C9" s="9" t="s">
        <v>683</v>
      </c>
      <c r="D9" s="9" t="s">
        <v>68</v>
      </c>
      <c r="E9" s="15">
        <f>(1138+1741)/5280</f>
        <v>0.54526515151515154</v>
      </c>
      <c r="F9" s="9" t="s">
        <v>74</v>
      </c>
      <c r="G9" s="9" t="s">
        <v>698</v>
      </c>
      <c r="H9" s="9" t="s">
        <v>1595</v>
      </c>
    </row>
    <row r="10" spans="1:8" s="9" customFormat="1" x14ac:dyDescent="0.25">
      <c r="A10" s="3" t="s">
        <v>10</v>
      </c>
      <c r="B10" s="9" t="s">
        <v>699</v>
      </c>
      <c r="C10" s="9" t="s">
        <v>683</v>
      </c>
      <c r="D10" s="9" t="s">
        <v>700</v>
      </c>
      <c r="E10" s="15">
        <f>4809/5280</f>
        <v>0.91079545454545452</v>
      </c>
      <c r="F10" s="9" t="s">
        <v>158</v>
      </c>
      <c r="G10" s="9" t="s">
        <v>701</v>
      </c>
      <c r="H10" s="9" t="s">
        <v>1595</v>
      </c>
    </row>
    <row r="11" spans="1:8" s="9" customFormat="1" x14ac:dyDescent="0.25">
      <c r="A11" s="3" t="s">
        <v>10</v>
      </c>
      <c r="B11" s="9" t="s">
        <v>702</v>
      </c>
      <c r="C11" s="9" t="s">
        <v>683</v>
      </c>
      <c r="D11" s="9" t="s">
        <v>694</v>
      </c>
      <c r="E11" s="15">
        <f>(414+633)/5280</f>
        <v>0.19829545454545455</v>
      </c>
      <c r="F11" s="9" t="s">
        <v>158</v>
      </c>
      <c r="G11" s="9" t="s">
        <v>705</v>
      </c>
      <c r="H11" s="9" t="s">
        <v>1595</v>
      </c>
    </row>
    <row r="12" spans="1:8" s="9" customFormat="1" x14ac:dyDescent="0.25">
      <c r="A12" s="3" t="s">
        <v>10</v>
      </c>
      <c r="B12" s="9" t="s">
        <v>703</v>
      </c>
      <c r="C12" s="9" t="s">
        <v>683</v>
      </c>
      <c r="D12" s="9" t="s">
        <v>704</v>
      </c>
      <c r="E12" s="15">
        <f>3546/5280</f>
        <v>0.67159090909090913</v>
      </c>
      <c r="F12" s="9" t="s">
        <v>158</v>
      </c>
      <c r="G12" s="9" t="s">
        <v>706</v>
      </c>
      <c r="H12" s="9" t="s">
        <v>1595</v>
      </c>
    </row>
    <row r="13" spans="1:8" s="9" customFormat="1" x14ac:dyDescent="0.25">
      <c r="A13" s="3" t="s">
        <v>10</v>
      </c>
      <c r="B13" s="9" t="s">
        <v>707</v>
      </c>
      <c r="C13" s="9" t="s">
        <v>683</v>
      </c>
      <c r="D13" s="9" t="s">
        <v>708</v>
      </c>
      <c r="E13" s="15">
        <f>1437/5280</f>
        <v>0.27215909090909091</v>
      </c>
      <c r="F13" s="9" t="s">
        <v>96</v>
      </c>
      <c r="G13" s="9" t="s">
        <v>709</v>
      </c>
      <c r="H13" s="9" t="s">
        <v>1595</v>
      </c>
    </row>
    <row r="14" spans="1:8" s="9" customFormat="1" x14ac:dyDescent="0.25">
      <c r="A14" s="3" t="s">
        <v>10</v>
      </c>
      <c r="B14" s="9" t="s">
        <v>712</v>
      </c>
      <c r="C14" s="9" t="s">
        <v>710</v>
      </c>
      <c r="D14" s="9" t="s">
        <v>711</v>
      </c>
      <c r="E14" s="15">
        <f>186/5280</f>
        <v>3.5227272727272725E-2</v>
      </c>
      <c r="F14" s="9" t="s">
        <v>713</v>
      </c>
      <c r="G14" s="9" t="s">
        <v>716</v>
      </c>
      <c r="H14" s="9" t="s">
        <v>1595</v>
      </c>
    </row>
    <row r="15" spans="1:8" x14ac:dyDescent="0.25">
      <c r="A15" s="3" t="s">
        <v>10</v>
      </c>
      <c r="B15" s="9" t="s">
        <v>717</v>
      </c>
      <c r="C15" s="9" t="s">
        <v>710</v>
      </c>
      <c r="D15" s="9" t="s">
        <v>718</v>
      </c>
      <c r="E15" s="31">
        <f>613/5280</f>
        <v>0.11609848484848485</v>
      </c>
      <c r="F15" s="9" t="s">
        <v>454</v>
      </c>
      <c r="G15" s="9" t="s">
        <v>719</v>
      </c>
      <c r="H15" s="9" t="s">
        <v>1595</v>
      </c>
    </row>
    <row r="16" spans="1:8" x14ac:dyDescent="0.25">
      <c r="A16" s="3" t="s">
        <v>10</v>
      </c>
      <c r="B16" s="9" t="s">
        <v>720</v>
      </c>
      <c r="C16" s="9" t="s">
        <v>710</v>
      </c>
      <c r="D16" s="9" t="s">
        <v>721</v>
      </c>
      <c r="E16" s="31">
        <f>2594/5280</f>
        <v>0.49128787878787877</v>
      </c>
      <c r="F16" s="9" t="s">
        <v>96</v>
      </c>
      <c r="G16" s="9" t="s">
        <v>722</v>
      </c>
      <c r="H16" s="9" t="s">
        <v>1595</v>
      </c>
    </row>
    <row r="17" spans="1:8" x14ac:dyDescent="0.25">
      <c r="A17" s="3" t="s">
        <v>10</v>
      </c>
      <c r="B17" s="9" t="s">
        <v>727</v>
      </c>
      <c r="C17" s="9" t="s">
        <v>710</v>
      </c>
      <c r="D17" s="9" t="s">
        <v>693</v>
      </c>
      <c r="E17" s="31">
        <f>4709/5280</f>
        <v>0.8918560606060606</v>
      </c>
      <c r="F17" s="9" t="s">
        <v>158</v>
      </c>
      <c r="G17" s="9" t="s">
        <v>723</v>
      </c>
      <c r="H17" s="9" t="s">
        <v>1595</v>
      </c>
    </row>
    <row r="18" spans="1:8" x14ac:dyDescent="0.25">
      <c r="A18" s="3" t="s">
        <v>10</v>
      </c>
      <c r="B18" s="9" t="s">
        <v>726</v>
      </c>
      <c r="C18" s="9" t="s">
        <v>710</v>
      </c>
      <c r="D18" s="9" t="s">
        <v>729</v>
      </c>
      <c r="E18" s="31">
        <f>392/5280</f>
        <v>7.4242424242424249E-2</v>
      </c>
      <c r="F18" s="9" t="s">
        <v>724</v>
      </c>
      <c r="G18" s="9" t="s">
        <v>725</v>
      </c>
      <c r="H18" s="9" t="s">
        <v>1595</v>
      </c>
    </row>
    <row r="19" spans="1:8" x14ac:dyDescent="0.25">
      <c r="A19" s="3" t="s">
        <v>10</v>
      </c>
      <c r="B19" s="9" t="s">
        <v>728</v>
      </c>
      <c r="C19" s="9" t="s">
        <v>710</v>
      </c>
      <c r="D19" s="9" t="s">
        <v>729</v>
      </c>
      <c r="E19" s="31">
        <f>965/5280</f>
        <v>0.18276515151515152</v>
      </c>
      <c r="F19" s="9" t="s">
        <v>730</v>
      </c>
      <c r="H19" s="9" t="s">
        <v>1595</v>
      </c>
    </row>
    <row r="20" spans="1:8" x14ac:dyDescent="0.25">
      <c r="A20" s="3" t="s">
        <v>10</v>
      </c>
      <c r="B20" s="9" t="s">
        <v>732</v>
      </c>
      <c r="C20" s="9" t="s">
        <v>710</v>
      </c>
      <c r="D20" s="9" t="s">
        <v>693</v>
      </c>
      <c r="E20" s="31">
        <f>2324/5280</f>
        <v>0.44015151515151513</v>
      </c>
      <c r="F20" s="9" t="s">
        <v>158</v>
      </c>
      <c r="G20" s="9" t="s">
        <v>731</v>
      </c>
      <c r="H20" s="9" t="s">
        <v>1595</v>
      </c>
    </row>
    <row r="21" spans="1:8" x14ac:dyDescent="0.25">
      <c r="A21" s="3" t="s">
        <v>10</v>
      </c>
      <c r="B21" s="9" t="s">
        <v>733</v>
      </c>
      <c r="C21" s="9" t="s">
        <v>710</v>
      </c>
      <c r="D21" s="9" t="s">
        <v>693</v>
      </c>
      <c r="E21" s="31">
        <f>144/5280</f>
        <v>2.7272727272727271E-2</v>
      </c>
      <c r="F21" s="9" t="s">
        <v>96</v>
      </c>
      <c r="G21" s="9" t="s">
        <v>734</v>
      </c>
      <c r="H21" s="9" t="s">
        <v>1595</v>
      </c>
    </row>
    <row r="22" spans="1:8" x14ac:dyDescent="0.25">
      <c r="A22" s="3" t="s">
        <v>10</v>
      </c>
      <c r="B22" s="9" t="s">
        <v>735</v>
      </c>
      <c r="C22" s="9" t="s">
        <v>710</v>
      </c>
      <c r="D22" s="9" t="s">
        <v>693</v>
      </c>
      <c r="E22" s="31">
        <f>(1010+295)/5280</f>
        <v>0.24715909090909091</v>
      </c>
      <c r="F22" s="9" t="s">
        <v>158</v>
      </c>
      <c r="G22" s="9" t="s">
        <v>736</v>
      </c>
      <c r="H22" s="9" t="s">
        <v>1595</v>
      </c>
    </row>
    <row r="23" spans="1:8" x14ac:dyDescent="0.25">
      <c r="A23" s="3" t="s">
        <v>10</v>
      </c>
      <c r="B23" s="9" t="s">
        <v>737</v>
      </c>
      <c r="C23" s="9" t="s">
        <v>710</v>
      </c>
      <c r="D23" s="9" t="s">
        <v>729</v>
      </c>
      <c r="E23" s="31">
        <f>386/5280</f>
        <v>7.3106060606060605E-2</v>
      </c>
      <c r="F23" s="9" t="s">
        <v>738</v>
      </c>
      <c r="G23" s="9" t="s">
        <v>739</v>
      </c>
      <c r="H23" s="9" t="s">
        <v>1595</v>
      </c>
    </row>
    <row r="24" spans="1:8" x14ac:dyDescent="0.25">
      <c r="A24" s="3" t="s">
        <v>10</v>
      </c>
      <c r="B24" s="9" t="s">
        <v>740</v>
      </c>
      <c r="C24" s="9" t="s">
        <v>710</v>
      </c>
      <c r="D24" s="9" t="s">
        <v>741</v>
      </c>
      <c r="E24" s="31">
        <f>1356/5280</f>
        <v>0.25681818181818183</v>
      </c>
      <c r="F24" s="9" t="s">
        <v>244</v>
      </c>
      <c r="G24" s="9" t="s">
        <v>742</v>
      </c>
      <c r="H24" s="9" t="s">
        <v>1595</v>
      </c>
    </row>
    <row r="25" spans="1:8" x14ac:dyDescent="0.25">
      <c r="A25" s="3" t="s">
        <v>10</v>
      </c>
      <c r="B25" s="9" t="s">
        <v>743</v>
      </c>
      <c r="C25" s="9" t="s">
        <v>710</v>
      </c>
      <c r="D25" s="9" t="s">
        <v>68</v>
      </c>
      <c r="E25" s="31">
        <f>(7442-175)/5280</f>
        <v>1.3763257575757575</v>
      </c>
      <c r="F25" s="9" t="s">
        <v>74</v>
      </c>
      <c r="G25" s="9" t="s">
        <v>744</v>
      </c>
      <c r="H25" s="9" t="s">
        <v>1546</v>
      </c>
    </row>
    <row r="26" spans="1:8" x14ac:dyDescent="0.25">
      <c r="A26" s="3" t="s">
        <v>10</v>
      </c>
      <c r="B26" s="9" t="s">
        <v>745</v>
      </c>
      <c r="C26" s="9" t="s">
        <v>710</v>
      </c>
      <c r="D26" s="9" t="s">
        <v>693</v>
      </c>
      <c r="E26" s="31">
        <f>486/5280</f>
        <v>9.2045454545454541E-2</v>
      </c>
      <c r="F26" s="9" t="s">
        <v>96</v>
      </c>
      <c r="H26" s="9" t="s">
        <v>1595</v>
      </c>
    </row>
    <row r="27" spans="1:8" x14ac:dyDescent="0.25">
      <c r="A27" s="3" t="s">
        <v>10</v>
      </c>
      <c r="B27" s="9" t="s">
        <v>748</v>
      </c>
      <c r="C27" s="9" t="s">
        <v>710</v>
      </c>
      <c r="D27" s="9" t="s">
        <v>747</v>
      </c>
      <c r="E27" s="31">
        <f>(156+46+75)/5280</f>
        <v>5.246212121212121E-2</v>
      </c>
      <c r="F27" s="9" t="s">
        <v>96</v>
      </c>
      <c r="G27" t="s">
        <v>746</v>
      </c>
      <c r="H27" s="9" t="s">
        <v>1595</v>
      </c>
    </row>
    <row r="28" spans="1:8" x14ac:dyDescent="0.25">
      <c r="A28" s="3" t="s">
        <v>10</v>
      </c>
      <c r="B28" s="9" t="s">
        <v>751</v>
      </c>
      <c r="C28" s="9" t="s">
        <v>710</v>
      </c>
      <c r="D28" s="9" t="s">
        <v>749</v>
      </c>
      <c r="E28" s="31">
        <f>72/5280</f>
        <v>1.3636363636363636E-2</v>
      </c>
      <c r="F28" s="9" t="s">
        <v>96</v>
      </c>
      <c r="G28" s="9" t="s">
        <v>750</v>
      </c>
      <c r="H28" s="9" t="s">
        <v>1595</v>
      </c>
    </row>
    <row r="29" spans="1:8" x14ac:dyDescent="0.25">
      <c r="A29" s="3" t="s">
        <v>10</v>
      </c>
      <c r="B29" s="9" t="s">
        <v>752</v>
      </c>
      <c r="C29" s="9" t="s">
        <v>710</v>
      </c>
      <c r="D29" s="9" t="s">
        <v>753</v>
      </c>
      <c r="E29" s="31">
        <f>365/5280</f>
        <v>6.9128787878787873E-2</v>
      </c>
      <c r="F29" s="9" t="s">
        <v>96</v>
      </c>
      <c r="G29" s="9" t="s">
        <v>754</v>
      </c>
      <c r="H29" s="9" t="s">
        <v>1595</v>
      </c>
    </row>
    <row r="30" spans="1:8" x14ac:dyDescent="0.25">
      <c r="A30" s="3" t="s">
        <v>10</v>
      </c>
      <c r="B30" s="9" t="s">
        <v>755</v>
      </c>
      <c r="C30" s="9" t="s">
        <v>710</v>
      </c>
      <c r="D30" s="9" t="s">
        <v>757</v>
      </c>
      <c r="E30" s="31">
        <f>(63+56+430)/5280</f>
        <v>0.10397727272727272</v>
      </c>
      <c r="F30" s="9" t="s">
        <v>96</v>
      </c>
      <c r="G30" s="9" t="s">
        <v>758</v>
      </c>
      <c r="H30" s="9" t="s">
        <v>1595</v>
      </c>
    </row>
    <row r="31" spans="1:8" x14ac:dyDescent="0.25">
      <c r="A31" s="3" t="s">
        <v>10</v>
      </c>
      <c r="B31" s="9" t="s">
        <v>759</v>
      </c>
      <c r="C31" s="9" t="s">
        <v>710</v>
      </c>
      <c r="D31" s="9" t="s">
        <v>693</v>
      </c>
      <c r="E31" s="31">
        <f>715/5280</f>
        <v>0.13541666666666666</v>
      </c>
      <c r="F31" s="9" t="s">
        <v>761</v>
      </c>
      <c r="G31" s="9" t="s">
        <v>762</v>
      </c>
      <c r="H31" s="9" t="s">
        <v>1595</v>
      </c>
    </row>
    <row r="32" spans="1:8" x14ac:dyDescent="0.25">
      <c r="A32" s="3" t="s">
        <v>10</v>
      </c>
      <c r="B32" s="9" t="s">
        <v>760</v>
      </c>
      <c r="C32" s="9" t="s">
        <v>710</v>
      </c>
      <c r="D32" s="9" t="s">
        <v>693</v>
      </c>
      <c r="E32" s="31">
        <f>733/5280</f>
        <v>0.13882575757575757</v>
      </c>
      <c r="F32" s="9" t="s">
        <v>738</v>
      </c>
      <c r="G32" s="9" t="s">
        <v>763</v>
      </c>
      <c r="H32" s="9" t="s">
        <v>1595</v>
      </c>
    </row>
    <row r="33" spans="1:8" x14ac:dyDescent="0.25">
      <c r="A33" s="3" t="s">
        <v>10</v>
      </c>
      <c r="B33" s="9" t="s">
        <v>764</v>
      </c>
      <c r="C33" s="9" t="s">
        <v>710</v>
      </c>
      <c r="D33" s="9" t="s">
        <v>693</v>
      </c>
      <c r="E33" s="31">
        <f>(1301-100-52-49)/5280</f>
        <v>0.20833333333333334</v>
      </c>
      <c r="F33" s="9" t="s">
        <v>277</v>
      </c>
      <c r="G33" s="9" t="s">
        <v>765</v>
      </c>
      <c r="H33" s="9" t="s">
        <v>1595</v>
      </c>
    </row>
    <row r="34" spans="1:8" x14ac:dyDescent="0.25">
      <c r="A34" s="3" t="s">
        <v>10</v>
      </c>
      <c r="B34" s="9" t="s">
        <v>766</v>
      </c>
      <c r="C34" s="9" t="s">
        <v>710</v>
      </c>
      <c r="D34" t="s">
        <v>68</v>
      </c>
      <c r="E34" s="31">
        <f>1072/5280</f>
        <v>0.20303030303030303</v>
      </c>
      <c r="F34" s="9" t="s">
        <v>74</v>
      </c>
      <c r="H34" t="s">
        <v>1547</v>
      </c>
    </row>
    <row r="35" spans="1:8" x14ac:dyDescent="0.25">
      <c r="A35" s="3" t="s">
        <v>10</v>
      </c>
      <c r="B35" s="9" t="s">
        <v>1522</v>
      </c>
      <c r="C35" s="9" t="s">
        <v>710</v>
      </c>
      <c r="D35" t="s">
        <v>693</v>
      </c>
      <c r="E35" s="31">
        <f>3701/5280</f>
        <v>0.70094696969696968</v>
      </c>
      <c r="F35" s="9" t="s">
        <v>12</v>
      </c>
      <c r="H35" s="9" t="s">
        <v>1595</v>
      </c>
    </row>
    <row r="36" spans="1:8" x14ac:dyDescent="0.25">
      <c r="A36" s="3" t="s">
        <v>10</v>
      </c>
      <c r="B36" s="9" t="s">
        <v>767</v>
      </c>
      <c r="C36" s="9" t="s">
        <v>710</v>
      </c>
      <c r="D36" t="s">
        <v>693</v>
      </c>
      <c r="E36" s="31">
        <f>(15043-1301-733-1072-3701+200)/5280</f>
        <v>1.5977272727272727</v>
      </c>
      <c r="F36" s="9" t="s">
        <v>768</v>
      </c>
      <c r="H36" s="9" t="s">
        <v>1595</v>
      </c>
    </row>
    <row r="37" spans="1:8" x14ac:dyDescent="0.25">
      <c r="A37" s="3" t="s">
        <v>10</v>
      </c>
      <c r="B37" s="9" t="s">
        <v>769</v>
      </c>
      <c r="C37" s="9" t="s">
        <v>710</v>
      </c>
      <c r="D37" t="s">
        <v>770</v>
      </c>
      <c r="E37" s="31">
        <f>328/5280</f>
        <v>6.2121212121212119E-2</v>
      </c>
      <c r="F37" s="9" t="s">
        <v>771</v>
      </c>
      <c r="H37" s="9" t="s">
        <v>1595</v>
      </c>
    </row>
    <row r="38" spans="1:8" x14ac:dyDescent="0.25">
      <c r="A38" s="3" t="s">
        <v>10</v>
      </c>
      <c r="B38" s="9" t="s">
        <v>772</v>
      </c>
      <c r="C38" s="9" t="s">
        <v>710</v>
      </c>
      <c r="D38" t="s">
        <v>118</v>
      </c>
      <c r="E38" s="31">
        <f>389/5280</f>
        <v>7.367424242424242E-2</v>
      </c>
      <c r="F38" s="9" t="s">
        <v>244</v>
      </c>
      <c r="G38" s="9" t="s">
        <v>773</v>
      </c>
      <c r="H38" s="9" t="s">
        <v>1595</v>
      </c>
    </row>
    <row r="39" spans="1:8" x14ac:dyDescent="0.25">
      <c r="A39" s="3" t="s">
        <v>10</v>
      </c>
      <c r="B39" s="9" t="s">
        <v>774</v>
      </c>
      <c r="C39" s="9" t="s">
        <v>710</v>
      </c>
      <c r="D39" t="s">
        <v>756</v>
      </c>
      <c r="E39" s="31">
        <f>152/5280</f>
        <v>2.8787878787878789E-2</v>
      </c>
      <c r="F39" s="9" t="s">
        <v>96</v>
      </c>
      <c r="H39" s="9" t="s">
        <v>1595</v>
      </c>
    </row>
    <row r="40" spans="1:8" x14ac:dyDescent="0.25">
      <c r="A40" s="3" t="s">
        <v>10</v>
      </c>
      <c r="B40" s="9" t="s">
        <v>775</v>
      </c>
      <c r="C40" s="9" t="s">
        <v>710</v>
      </c>
      <c r="D40" t="s">
        <v>729</v>
      </c>
      <c r="E40" s="31">
        <f>361/5280</f>
        <v>6.8371212121212124E-2</v>
      </c>
      <c r="F40" s="9" t="s">
        <v>738</v>
      </c>
      <c r="G40" s="9" t="s">
        <v>776</v>
      </c>
      <c r="H40" s="9" t="s">
        <v>1595</v>
      </c>
    </row>
    <row r="41" spans="1:8" x14ac:dyDescent="0.25">
      <c r="A41" s="3" t="s">
        <v>10</v>
      </c>
      <c r="B41" s="9" t="s">
        <v>778</v>
      </c>
      <c r="C41" s="9" t="s">
        <v>710</v>
      </c>
      <c r="D41" t="s">
        <v>777</v>
      </c>
      <c r="E41" s="31">
        <f>(5819)/5280</f>
        <v>1.1020833333333333</v>
      </c>
      <c r="F41" s="9" t="s">
        <v>75</v>
      </c>
      <c r="G41" s="9" t="s">
        <v>779</v>
      </c>
      <c r="H41" s="9" t="s">
        <v>1595</v>
      </c>
    </row>
    <row r="42" spans="1:8" x14ac:dyDescent="0.25">
      <c r="A42" s="3" t="s">
        <v>10</v>
      </c>
      <c r="B42" s="9" t="s">
        <v>780</v>
      </c>
      <c r="C42" s="9" t="s">
        <v>710</v>
      </c>
      <c r="D42" t="s">
        <v>781</v>
      </c>
      <c r="E42" s="31">
        <f>604/5280</f>
        <v>0.1143939393939394</v>
      </c>
      <c r="F42" s="9" t="s">
        <v>75</v>
      </c>
      <c r="G42" s="9" t="s">
        <v>782</v>
      </c>
      <c r="H42" s="9" t="s">
        <v>1595</v>
      </c>
    </row>
    <row r="43" spans="1:8" x14ac:dyDescent="0.25">
      <c r="A43" s="3" t="s">
        <v>10</v>
      </c>
      <c r="B43" s="9" t="s">
        <v>783</v>
      </c>
      <c r="C43" s="9" t="s">
        <v>710</v>
      </c>
      <c r="D43" t="s">
        <v>729</v>
      </c>
      <c r="E43" s="31">
        <f>40/5280</f>
        <v>7.575757575757576E-3</v>
      </c>
      <c r="F43" s="9" t="s">
        <v>738</v>
      </c>
      <c r="G43" s="9" t="s">
        <v>784</v>
      </c>
      <c r="H43" s="9" t="s">
        <v>1595</v>
      </c>
    </row>
    <row r="44" spans="1:8" x14ac:dyDescent="0.25">
      <c r="A44" s="3" t="s">
        <v>10</v>
      </c>
      <c r="B44" s="9" t="s">
        <v>175</v>
      </c>
      <c r="C44" s="9" t="s">
        <v>710</v>
      </c>
      <c r="D44" t="s">
        <v>785</v>
      </c>
      <c r="E44" s="31">
        <f>577/5280</f>
        <v>0.10928030303030303</v>
      </c>
      <c r="F44" s="9" t="s">
        <v>96</v>
      </c>
      <c r="G44" s="9" t="s">
        <v>1536</v>
      </c>
      <c r="H44" s="9" t="s">
        <v>1595</v>
      </c>
    </row>
    <row r="45" spans="1:8" x14ac:dyDescent="0.25">
      <c r="A45" s="3" t="s">
        <v>10</v>
      </c>
      <c r="B45" s="9" t="s">
        <v>786</v>
      </c>
      <c r="C45" s="9" t="s">
        <v>710</v>
      </c>
      <c r="D45" t="s">
        <v>787</v>
      </c>
      <c r="E45" s="31">
        <f>218/5280</f>
        <v>4.128787878787879E-2</v>
      </c>
      <c r="F45" s="9" t="s">
        <v>771</v>
      </c>
      <c r="G45" s="9" t="s">
        <v>754</v>
      </c>
      <c r="H45" s="9" t="s">
        <v>1595</v>
      </c>
    </row>
    <row r="46" spans="1:8" x14ac:dyDescent="0.25">
      <c r="A46" s="3" t="s">
        <v>10</v>
      </c>
      <c r="B46" s="9" t="s">
        <v>789</v>
      </c>
      <c r="C46" s="9" t="s">
        <v>710</v>
      </c>
      <c r="D46" t="s">
        <v>693</v>
      </c>
      <c r="E46" s="31">
        <f>3222/5280</f>
        <v>0.61022727272727273</v>
      </c>
      <c r="F46" s="9" t="s">
        <v>96</v>
      </c>
      <c r="G46" s="9" t="s">
        <v>788</v>
      </c>
      <c r="H46" s="9" t="s">
        <v>1595</v>
      </c>
    </row>
    <row r="47" spans="1:8" x14ac:dyDescent="0.25">
      <c r="A47" s="3" t="s">
        <v>10</v>
      </c>
      <c r="B47" s="9" t="s">
        <v>1538</v>
      </c>
      <c r="C47" s="9" t="s">
        <v>710</v>
      </c>
      <c r="D47" t="s">
        <v>1535</v>
      </c>
      <c r="E47" s="31">
        <f>(280+255+250)/5280</f>
        <v>0.14867424242424243</v>
      </c>
      <c r="F47" s="9" t="s">
        <v>96</v>
      </c>
      <c r="G47" s="9" t="s">
        <v>1539</v>
      </c>
      <c r="H47" s="9" t="s">
        <v>1595</v>
      </c>
    </row>
    <row r="48" spans="1:8" x14ac:dyDescent="0.25">
      <c r="A48" s="3" t="s">
        <v>10</v>
      </c>
      <c r="B48" s="9" t="s">
        <v>790</v>
      </c>
      <c r="C48" s="9" t="s">
        <v>710</v>
      </c>
      <c r="D48" t="s">
        <v>791</v>
      </c>
      <c r="E48" s="31">
        <f>(242+140)/5280</f>
        <v>7.2348484848484843E-2</v>
      </c>
      <c r="F48" s="9" t="s">
        <v>96</v>
      </c>
      <c r="G48" s="9" t="s">
        <v>1537</v>
      </c>
      <c r="H48" s="9" t="s">
        <v>1595</v>
      </c>
    </row>
    <row r="49" spans="1:8" x14ac:dyDescent="0.25">
      <c r="A49" s="3" t="s">
        <v>10</v>
      </c>
      <c r="B49" s="9" t="s">
        <v>792</v>
      </c>
      <c r="C49" s="9" t="s">
        <v>710</v>
      </c>
      <c r="D49" t="s">
        <v>793</v>
      </c>
      <c r="E49" s="31">
        <f>(6794-100-84-102-62-218)/5280</f>
        <v>1.1795454545454545</v>
      </c>
      <c r="F49" s="9" t="s">
        <v>75</v>
      </c>
      <c r="G49" s="9" t="s">
        <v>794</v>
      </c>
      <c r="H49" s="9" t="s">
        <v>1595</v>
      </c>
    </row>
    <row r="50" spans="1:8" x14ac:dyDescent="0.25">
      <c r="A50" s="3" t="s">
        <v>10</v>
      </c>
      <c r="B50" s="9" t="s">
        <v>1528</v>
      </c>
      <c r="C50" s="9" t="s">
        <v>710</v>
      </c>
      <c r="D50" t="s">
        <v>796</v>
      </c>
      <c r="E50" s="31">
        <f>6118/5280</f>
        <v>1.1587121212121212</v>
      </c>
      <c r="F50" s="9" t="s">
        <v>75</v>
      </c>
      <c r="G50" s="9" t="s">
        <v>797</v>
      </c>
      <c r="H50" s="9" t="s">
        <v>1595</v>
      </c>
    </row>
    <row r="51" spans="1:8" x14ac:dyDescent="0.25">
      <c r="A51" s="3" t="s">
        <v>10</v>
      </c>
      <c r="B51" s="9" t="s">
        <v>798</v>
      </c>
      <c r="C51" s="9" t="s">
        <v>710</v>
      </c>
      <c r="D51" t="s">
        <v>799</v>
      </c>
      <c r="E51" s="31">
        <f>1195/5280</f>
        <v>0.22632575757575757</v>
      </c>
      <c r="F51" s="32" t="s">
        <v>75</v>
      </c>
      <c r="H51" s="9" t="s">
        <v>1595</v>
      </c>
    </row>
    <row r="52" spans="1:8" x14ac:dyDescent="0.25">
      <c r="A52" s="3" t="s">
        <v>10</v>
      </c>
      <c r="B52" s="9" t="s">
        <v>800</v>
      </c>
      <c r="C52" s="9" t="s">
        <v>710</v>
      </c>
      <c r="D52" s="32" t="s">
        <v>801</v>
      </c>
      <c r="E52" s="31">
        <f>595/5280</f>
        <v>0.11268939393939394</v>
      </c>
      <c r="F52" s="32" t="s">
        <v>75</v>
      </c>
      <c r="G52" t="s">
        <v>802</v>
      </c>
      <c r="H52" s="9" t="s">
        <v>1595</v>
      </c>
    </row>
    <row r="53" spans="1:8" x14ac:dyDescent="0.25">
      <c r="A53" s="3" t="s">
        <v>10</v>
      </c>
      <c r="B53" s="9" t="s">
        <v>803</v>
      </c>
      <c r="C53" s="9" t="s">
        <v>710</v>
      </c>
      <c r="D53" s="32" t="s">
        <v>799</v>
      </c>
      <c r="E53" s="31">
        <f>165/5280</f>
        <v>3.125E-2</v>
      </c>
      <c r="F53" s="32" t="s">
        <v>75</v>
      </c>
      <c r="H53" s="9" t="s">
        <v>1595</v>
      </c>
    </row>
    <row r="54" spans="1:8" x14ac:dyDescent="0.25">
      <c r="A54" s="3" t="s">
        <v>10</v>
      </c>
      <c r="B54" s="9" t="s">
        <v>804</v>
      </c>
      <c r="C54" s="9" t="s">
        <v>710</v>
      </c>
      <c r="D54" s="32" t="s">
        <v>118</v>
      </c>
      <c r="E54" s="31">
        <f>567/5280</f>
        <v>0.10738636363636364</v>
      </c>
      <c r="F54" s="32" t="s">
        <v>244</v>
      </c>
      <c r="H54" s="9" t="s">
        <v>1595</v>
      </c>
    </row>
    <row r="55" spans="1:8" x14ac:dyDescent="0.25">
      <c r="A55" s="3" t="s">
        <v>10</v>
      </c>
      <c r="B55" s="9" t="s">
        <v>805</v>
      </c>
      <c r="C55" s="9" t="s">
        <v>710</v>
      </c>
      <c r="D55" s="32" t="s">
        <v>806</v>
      </c>
      <c r="E55" s="31">
        <f>428/5280</f>
        <v>8.1060606060606055E-2</v>
      </c>
      <c r="F55" s="32" t="s">
        <v>837</v>
      </c>
      <c r="H55" s="9" t="s">
        <v>1595</v>
      </c>
    </row>
    <row r="56" spans="1:8" x14ac:dyDescent="0.25">
      <c r="A56" s="3" t="s">
        <v>10</v>
      </c>
      <c r="B56" s="5" t="s">
        <v>807</v>
      </c>
      <c r="C56" s="9" t="s">
        <v>710</v>
      </c>
      <c r="D56" s="32" t="s">
        <v>693</v>
      </c>
      <c r="E56" s="31">
        <f>1375/5280</f>
        <v>0.26041666666666669</v>
      </c>
      <c r="F56" s="32" t="s">
        <v>12</v>
      </c>
      <c r="G56" s="32" t="s">
        <v>811</v>
      </c>
      <c r="H56" s="9" t="s">
        <v>1595</v>
      </c>
    </row>
    <row r="57" spans="1:8" x14ac:dyDescent="0.25">
      <c r="A57" s="3" t="s">
        <v>10</v>
      </c>
      <c r="B57" s="9" t="s">
        <v>808</v>
      </c>
      <c r="C57" s="9" t="s">
        <v>710</v>
      </c>
      <c r="D57" s="32" t="s">
        <v>810</v>
      </c>
      <c r="E57" s="31">
        <f>1068/5280</f>
        <v>0.20227272727272727</v>
      </c>
      <c r="F57" s="32" t="s">
        <v>75</v>
      </c>
      <c r="G57" t="s">
        <v>809</v>
      </c>
      <c r="H57" s="9" t="s">
        <v>1595</v>
      </c>
    </row>
    <row r="58" spans="1:8" x14ac:dyDescent="0.25">
      <c r="A58" s="3" t="s">
        <v>10</v>
      </c>
      <c r="B58" s="9" t="s">
        <v>812</v>
      </c>
      <c r="C58" s="9" t="s">
        <v>710</v>
      </c>
      <c r="D58" s="32" t="s">
        <v>813</v>
      </c>
      <c r="E58" s="31">
        <f>609/5280</f>
        <v>0.11534090909090909</v>
      </c>
      <c r="F58" s="32" t="s">
        <v>454</v>
      </c>
      <c r="G58" s="32" t="s">
        <v>820</v>
      </c>
      <c r="H58" s="9" t="s">
        <v>1595</v>
      </c>
    </row>
    <row r="59" spans="1:8" x14ac:dyDescent="0.25">
      <c r="A59" s="3" t="s">
        <v>10</v>
      </c>
      <c r="B59" s="9" t="s">
        <v>815</v>
      </c>
      <c r="C59" s="9" t="s">
        <v>710</v>
      </c>
      <c r="D59" s="32" t="s">
        <v>814</v>
      </c>
      <c r="E59" s="31">
        <f>3746/5280</f>
        <v>0.70946969696969697</v>
      </c>
      <c r="F59" s="32" t="s">
        <v>846</v>
      </c>
      <c r="G59" s="32" t="s">
        <v>844</v>
      </c>
      <c r="H59" s="9" t="s">
        <v>1595</v>
      </c>
    </row>
    <row r="60" spans="1:8" x14ac:dyDescent="0.25">
      <c r="A60" s="3" t="s">
        <v>10</v>
      </c>
      <c r="B60" s="9" t="s">
        <v>816</v>
      </c>
      <c r="C60" s="9" t="s">
        <v>710</v>
      </c>
      <c r="D60" s="32" t="s">
        <v>817</v>
      </c>
      <c r="E60" s="31">
        <f>4493/5280</f>
        <v>0.8509469696969697</v>
      </c>
      <c r="F60" s="32" t="s">
        <v>75</v>
      </c>
      <c r="G60" s="32" t="s">
        <v>845</v>
      </c>
      <c r="H60" s="9" t="s">
        <v>1595</v>
      </c>
    </row>
    <row r="61" spans="1:8" x14ac:dyDescent="0.25">
      <c r="A61" s="3" t="s">
        <v>10</v>
      </c>
      <c r="B61" s="9" t="s">
        <v>818</v>
      </c>
      <c r="C61" s="9" t="s">
        <v>710</v>
      </c>
      <c r="D61" s="32" t="s">
        <v>813</v>
      </c>
      <c r="E61" s="31">
        <f>394/5280</f>
        <v>7.4621212121212116E-2</v>
      </c>
      <c r="F61" s="32" t="s">
        <v>454</v>
      </c>
      <c r="G61" s="32" t="s">
        <v>819</v>
      </c>
      <c r="H61" s="9" t="s">
        <v>1595</v>
      </c>
    </row>
    <row r="62" spans="1:8" x14ac:dyDescent="0.25">
      <c r="A62" s="3" t="s">
        <v>10</v>
      </c>
      <c r="B62" s="9" t="s">
        <v>839</v>
      </c>
      <c r="C62" s="9" t="s">
        <v>710</v>
      </c>
      <c r="D62" s="32" t="s">
        <v>118</v>
      </c>
      <c r="E62" s="31">
        <f>113/5280</f>
        <v>2.1401515151515151E-2</v>
      </c>
      <c r="F62" s="32" t="s">
        <v>244</v>
      </c>
      <c r="G62" s="32"/>
      <c r="H62" s="9" t="s">
        <v>1595</v>
      </c>
    </row>
    <row r="63" spans="1:8" x14ac:dyDescent="0.25">
      <c r="A63" s="3" t="s">
        <v>10</v>
      </c>
      <c r="B63" s="9" t="s">
        <v>840</v>
      </c>
      <c r="C63" s="9" t="s">
        <v>710</v>
      </c>
      <c r="D63" s="32" t="s">
        <v>822</v>
      </c>
      <c r="E63" s="31">
        <f>210/580</f>
        <v>0.36206896551724138</v>
      </c>
      <c r="F63" s="32" t="s">
        <v>244</v>
      </c>
      <c r="G63" s="32"/>
      <c r="H63" s="9" t="s">
        <v>1595</v>
      </c>
    </row>
    <row r="64" spans="1:8" x14ac:dyDescent="0.25">
      <c r="A64" s="3" t="s">
        <v>10</v>
      </c>
      <c r="B64" s="9" t="s">
        <v>841</v>
      </c>
      <c r="C64" s="9" t="s">
        <v>710</v>
      </c>
      <c r="D64" s="32" t="s">
        <v>118</v>
      </c>
      <c r="E64" s="31">
        <f>1384/5280</f>
        <v>0.26212121212121214</v>
      </c>
      <c r="F64" s="32" t="s">
        <v>244</v>
      </c>
      <c r="G64" s="32"/>
      <c r="H64" s="9" t="s">
        <v>1595</v>
      </c>
    </row>
    <row r="65" spans="1:8" x14ac:dyDescent="0.25">
      <c r="A65" s="3" t="s">
        <v>10</v>
      </c>
      <c r="B65" s="9" t="s">
        <v>821</v>
      </c>
      <c r="C65" s="9" t="s">
        <v>710</v>
      </c>
      <c r="D65" s="32" t="s">
        <v>822</v>
      </c>
      <c r="E65" s="31">
        <f>125/5280</f>
        <v>2.3674242424242424E-2</v>
      </c>
      <c r="F65" s="32" t="s">
        <v>75</v>
      </c>
      <c r="H65" s="9" t="s">
        <v>1595</v>
      </c>
    </row>
    <row r="66" spans="1:8" x14ac:dyDescent="0.25">
      <c r="A66" s="3" t="s">
        <v>10</v>
      </c>
      <c r="B66" s="9" t="s">
        <v>821</v>
      </c>
      <c r="C66" s="9" t="s">
        <v>710</v>
      </c>
      <c r="D66" s="32" t="s">
        <v>817</v>
      </c>
      <c r="E66" s="31">
        <f>1223/5280</f>
        <v>0.23162878787878788</v>
      </c>
      <c r="F66" s="32" t="s">
        <v>75</v>
      </c>
      <c r="G66" s="32" t="s">
        <v>824</v>
      </c>
      <c r="H66" s="9" t="s">
        <v>1595</v>
      </c>
    </row>
    <row r="67" spans="1:8" x14ac:dyDescent="0.25">
      <c r="A67" s="3" t="s">
        <v>10</v>
      </c>
      <c r="B67" s="9" t="s">
        <v>821</v>
      </c>
      <c r="C67" s="9" t="s">
        <v>710</v>
      </c>
      <c r="D67" s="32" t="s">
        <v>801</v>
      </c>
      <c r="E67" s="31">
        <f>400/5280</f>
        <v>7.575757575757576E-2</v>
      </c>
      <c r="F67" s="32" t="s">
        <v>96</v>
      </c>
      <c r="G67" s="32" t="s">
        <v>823</v>
      </c>
      <c r="H67" s="9" t="s">
        <v>1595</v>
      </c>
    </row>
    <row r="68" spans="1:8" x14ac:dyDescent="0.25">
      <c r="A68" s="3" t="s">
        <v>10</v>
      </c>
      <c r="B68" s="9" t="s">
        <v>825</v>
      </c>
      <c r="C68" s="9" t="s">
        <v>710</v>
      </c>
      <c r="D68" s="32" t="s">
        <v>68</v>
      </c>
      <c r="E68" s="31">
        <f>(947+1299+3421+289+106+35+163)/5280</f>
        <v>1.1856060606060606</v>
      </c>
      <c r="F68" s="32" t="s">
        <v>74</v>
      </c>
      <c r="G68" s="32" t="s">
        <v>826</v>
      </c>
      <c r="H68" s="32" t="s">
        <v>1548</v>
      </c>
    </row>
    <row r="69" spans="1:8" x14ac:dyDescent="0.25">
      <c r="A69" s="3" t="s">
        <v>10</v>
      </c>
      <c r="B69" s="9" t="s">
        <v>827</v>
      </c>
      <c r="C69" s="9" t="s">
        <v>710</v>
      </c>
      <c r="D69" s="32" t="s">
        <v>118</v>
      </c>
      <c r="E69" s="31">
        <f>483/5280</f>
        <v>9.1477272727272727E-2</v>
      </c>
      <c r="F69" s="32" t="s">
        <v>75</v>
      </c>
      <c r="H69" s="9" t="s">
        <v>1595</v>
      </c>
    </row>
    <row r="70" spans="1:8" x14ac:dyDescent="0.25">
      <c r="A70" s="3" t="s">
        <v>10</v>
      </c>
      <c r="B70" s="9" t="s">
        <v>560</v>
      </c>
      <c r="C70" s="9" t="s">
        <v>710</v>
      </c>
      <c r="D70" s="32" t="s">
        <v>801</v>
      </c>
      <c r="E70" s="31">
        <f>3750/5280</f>
        <v>0.71022727272727271</v>
      </c>
      <c r="F70" s="32" t="s">
        <v>96</v>
      </c>
      <c r="G70" s="32" t="s">
        <v>395</v>
      </c>
      <c r="H70" s="9" t="s">
        <v>1595</v>
      </c>
    </row>
    <row r="71" spans="1:8" x14ac:dyDescent="0.25">
      <c r="A71" s="3" t="s">
        <v>10</v>
      </c>
      <c r="B71" s="9" t="s">
        <v>828</v>
      </c>
      <c r="C71" s="9" t="s">
        <v>710</v>
      </c>
      <c r="D71" s="32" t="s">
        <v>801</v>
      </c>
      <c r="E71" s="31">
        <f>(2820+573+2492)/5280</f>
        <v>1.1145833333333333</v>
      </c>
      <c r="F71" s="32" t="s">
        <v>75</v>
      </c>
      <c r="G71" s="32" t="s">
        <v>833</v>
      </c>
      <c r="H71" s="9" t="s">
        <v>1595</v>
      </c>
    </row>
    <row r="72" spans="1:8" x14ac:dyDescent="0.25">
      <c r="A72" s="3" t="s">
        <v>10</v>
      </c>
      <c r="B72" s="9" t="s">
        <v>1527</v>
      </c>
      <c r="C72" s="9" t="s">
        <v>710</v>
      </c>
      <c r="D72" s="32" t="s">
        <v>829</v>
      </c>
      <c r="E72" s="31">
        <f>1456/5280</f>
        <v>0.27575757575757576</v>
      </c>
      <c r="F72" s="32" t="s">
        <v>454</v>
      </c>
      <c r="G72" s="32" t="s">
        <v>830</v>
      </c>
      <c r="H72" s="9" t="s">
        <v>1595</v>
      </c>
    </row>
    <row r="73" spans="1:8" x14ac:dyDescent="0.25">
      <c r="A73" s="3" t="s">
        <v>10</v>
      </c>
      <c r="B73" s="9" t="s">
        <v>831</v>
      </c>
      <c r="C73" s="9" t="s">
        <v>710</v>
      </c>
      <c r="D73" s="32" t="s">
        <v>801</v>
      </c>
      <c r="E73" s="31">
        <f>290/5280</f>
        <v>5.4924242424242424E-2</v>
      </c>
      <c r="F73" s="32" t="s">
        <v>837</v>
      </c>
      <c r="G73" s="32" t="s">
        <v>395</v>
      </c>
      <c r="H73" s="9" t="s">
        <v>1595</v>
      </c>
    </row>
    <row r="74" spans="1:8" x14ac:dyDescent="0.25">
      <c r="A74" s="3" t="s">
        <v>10</v>
      </c>
      <c r="B74" s="9" t="s">
        <v>832</v>
      </c>
      <c r="C74" s="9" t="s">
        <v>710</v>
      </c>
      <c r="D74" s="32" t="s">
        <v>118</v>
      </c>
      <c r="E74" s="31">
        <f>437/5280</f>
        <v>8.2765151515151514E-2</v>
      </c>
      <c r="F74" s="32" t="s">
        <v>75</v>
      </c>
      <c r="H74" s="9" t="s">
        <v>1595</v>
      </c>
    </row>
    <row r="75" spans="1:8" x14ac:dyDescent="0.25">
      <c r="A75" s="3" t="s">
        <v>10</v>
      </c>
      <c r="B75" s="9" t="s">
        <v>834</v>
      </c>
      <c r="C75" s="9" t="s">
        <v>710</v>
      </c>
      <c r="D75" s="32" t="s">
        <v>693</v>
      </c>
      <c r="E75" s="31">
        <f>993/5280</f>
        <v>0.18806818181818183</v>
      </c>
      <c r="F75" s="32" t="s">
        <v>842</v>
      </c>
      <c r="G75" s="32" t="s">
        <v>835</v>
      </c>
      <c r="H75" s="9" t="s">
        <v>1595</v>
      </c>
    </row>
    <row r="76" spans="1:8" x14ac:dyDescent="0.25">
      <c r="A76" s="3" t="s">
        <v>10</v>
      </c>
      <c r="B76" s="9" t="s">
        <v>843</v>
      </c>
      <c r="C76" s="9" t="s">
        <v>710</v>
      </c>
      <c r="D76" s="32" t="s">
        <v>693</v>
      </c>
      <c r="E76" s="31">
        <f>6438/5280</f>
        <v>1.2193181818181817</v>
      </c>
      <c r="F76" s="32" t="s">
        <v>244</v>
      </c>
      <c r="H76" s="9" t="s">
        <v>1595</v>
      </c>
    </row>
    <row r="77" spans="1:8" x14ac:dyDescent="0.25">
      <c r="A77" s="3" t="s">
        <v>10</v>
      </c>
      <c r="B77" s="9" t="s">
        <v>836</v>
      </c>
      <c r="C77" s="9" t="s">
        <v>710</v>
      </c>
      <c r="D77" s="32" t="s">
        <v>801</v>
      </c>
      <c r="E77" s="31">
        <f>600/5280</f>
        <v>0.11363636363636363</v>
      </c>
      <c r="F77" s="32" t="s">
        <v>96</v>
      </c>
      <c r="H77" s="9" t="s">
        <v>1595</v>
      </c>
    </row>
    <row r="78" spans="1:8" x14ac:dyDescent="0.25">
      <c r="A78" s="3" t="s">
        <v>10</v>
      </c>
      <c r="B78" s="9" t="s">
        <v>175</v>
      </c>
      <c r="C78" s="9" t="s">
        <v>710</v>
      </c>
      <c r="D78" s="32" t="s">
        <v>801</v>
      </c>
      <c r="E78" s="31">
        <f>(6316-360)/5280</f>
        <v>1.1280303030303029</v>
      </c>
      <c r="F78" s="32" t="s">
        <v>96</v>
      </c>
      <c r="G78" s="32" t="s">
        <v>838</v>
      </c>
      <c r="H78" s="9" t="s">
        <v>1595</v>
      </c>
    </row>
    <row r="79" spans="1:8" x14ac:dyDescent="0.25">
      <c r="A79" s="3"/>
      <c r="B79" s="9"/>
      <c r="C79" s="9"/>
      <c r="D79" s="32"/>
      <c r="E79" s="31"/>
      <c r="F79" s="32"/>
    </row>
    <row r="80" spans="1:8" x14ac:dyDescent="0.25">
      <c r="A80" s="3"/>
      <c r="B80" s="9"/>
      <c r="C80" s="9"/>
      <c r="D80" s="32"/>
      <c r="E80" s="31"/>
    </row>
    <row r="82" spans="1:5" x14ac:dyDescent="0.25">
      <c r="D82" s="29" t="s">
        <v>329</v>
      </c>
      <c r="E82" s="18">
        <f>SUM(E2:E78)</f>
        <v>27.267561389759663</v>
      </c>
    </row>
    <row r="83" spans="1:5" x14ac:dyDescent="0.25">
      <c r="E83" s="37">
        <f>E82/49.56</f>
        <v>0.55019292553994481</v>
      </c>
    </row>
    <row r="85" spans="1:5" x14ac:dyDescent="0.25">
      <c r="B85" s="41"/>
    </row>
    <row r="86" spans="1:5" x14ac:dyDescent="0.25">
      <c r="A86" s="43" t="s">
        <v>1598</v>
      </c>
      <c r="B86" s="43" t="s">
        <v>1601</v>
      </c>
    </row>
    <row r="87" spans="1:5" x14ac:dyDescent="0.25">
      <c r="B87" s="43" t="s">
        <v>1609</v>
      </c>
    </row>
    <row r="88" spans="1:5" x14ac:dyDescent="0.25">
      <c r="B88" s="43" t="s">
        <v>1614</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pane ySplit="1" topLeftCell="A2" activePane="bottomLeft" state="frozen"/>
      <selection pane="bottomLeft"/>
    </sheetView>
  </sheetViews>
  <sheetFormatPr defaultRowHeight="15" x14ac:dyDescent="0.25"/>
  <cols>
    <col min="1" max="1" width="12.42578125" customWidth="1"/>
    <col min="2" max="2" width="38" customWidth="1"/>
    <col min="3" max="3" width="14" customWidth="1"/>
    <col min="4" max="4" width="39.140625" customWidth="1"/>
    <col min="5" max="5" width="15.7109375" style="34" customWidth="1"/>
    <col min="6" max="6" width="49" customWidth="1"/>
    <col min="7" max="7" width="36.140625" customWidth="1"/>
    <col min="8" max="8" width="30.85546875" customWidth="1"/>
  </cols>
  <sheetData>
    <row r="1" spans="1:8" s="1" customFormat="1" ht="45" x14ac:dyDescent="0.25">
      <c r="A1" s="1" t="s">
        <v>0</v>
      </c>
      <c r="B1" s="1" t="s">
        <v>1</v>
      </c>
      <c r="C1" s="1" t="s">
        <v>2</v>
      </c>
      <c r="D1" s="1" t="s">
        <v>3</v>
      </c>
      <c r="E1" s="2" t="s">
        <v>71</v>
      </c>
      <c r="F1" s="1" t="s">
        <v>4</v>
      </c>
      <c r="G1" s="1" t="s">
        <v>5</v>
      </c>
      <c r="H1" s="1" t="s">
        <v>6</v>
      </c>
    </row>
    <row r="2" spans="1:8" s="9" customFormat="1" x14ac:dyDescent="0.25">
      <c r="A2" s="3" t="s">
        <v>11</v>
      </c>
      <c r="B2" s="9" t="s">
        <v>795</v>
      </c>
      <c r="C2" s="9" t="s">
        <v>1362</v>
      </c>
      <c r="D2" s="9" t="s">
        <v>1365</v>
      </c>
      <c r="E2" s="15">
        <f>787/5280</f>
        <v>0.1490530303030303</v>
      </c>
      <c r="F2" s="9" t="s">
        <v>75</v>
      </c>
      <c r="G2" s="9" t="s">
        <v>1363</v>
      </c>
      <c r="H2" s="9" t="s">
        <v>1596</v>
      </c>
    </row>
    <row r="3" spans="1:8" s="9" customFormat="1" x14ac:dyDescent="0.25">
      <c r="A3" s="3" t="s">
        <v>11</v>
      </c>
      <c r="B3" s="9" t="s">
        <v>1364</v>
      </c>
      <c r="C3" s="9" t="s">
        <v>1362</v>
      </c>
      <c r="D3" s="9" t="s">
        <v>1365</v>
      </c>
      <c r="E3" s="15">
        <f>858/5280</f>
        <v>0.16250000000000001</v>
      </c>
      <c r="F3" s="9" t="s">
        <v>75</v>
      </c>
      <c r="G3" s="9" t="s">
        <v>1366</v>
      </c>
      <c r="H3" s="9" t="s">
        <v>1596</v>
      </c>
    </row>
    <row r="4" spans="1:8" s="9" customFormat="1" x14ac:dyDescent="0.25">
      <c r="A4" s="3" t="s">
        <v>11</v>
      </c>
      <c r="B4" s="9" t="s">
        <v>1367</v>
      </c>
      <c r="C4" s="9" t="s">
        <v>1362</v>
      </c>
      <c r="D4" s="9" t="s">
        <v>1368</v>
      </c>
      <c r="E4" s="15">
        <f>561/5280</f>
        <v>0.10625</v>
      </c>
      <c r="F4" s="9" t="s">
        <v>96</v>
      </c>
      <c r="H4" s="9" t="s">
        <v>1596</v>
      </c>
    </row>
    <row r="5" spans="1:8" s="9" customFormat="1" x14ac:dyDescent="0.25">
      <c r="A5" s="3" t="s">
        <v>11</v>
      </c>
      <c r="B5" s="9" t="s">
        <v>1545</v>
      </c>
      <c r="C5" s="9" t="s">
        <v>1362</v>
      </c>
      <c r="D5" s="9" t="s">
        <v>251</v>
      </c>
      <c r="E5" s="15">
        <f>(1210+870+4716)/5280</f>
        <v>1.2871212121212121</v>
      </c>
      <c r="F5" s="9" t="s">
        <v>1369</v>
      </c>
      <c r="G5" s="9" t="s">
        <v>1370</v>
      </c>
      <c r="H5" s="9" t="s">
        <v>1596</v>
      </c>
    </row>
    <row r="6" spans="1:8" s="9" customFormat="1" x14ac:dyDescent="0.25">
      <c r="A6" s="3" t="s">
        <v>11</v>
      </c>
      <c r="B6" s="9" t="s">
        <v>1371</v>
      </c>
      <c r="C6" s="9" t="s">
        <v>1362</v>
      </c>
      <c r="D6" s="9" t="s">
        <v>1368</v>
      </c>
      <c r="E6" s="15">
        <f>655/5280</f>
        <v>0.1240530303030303</v>
      </c>
      <c r="F6" s="9" t="s">
        <v>1372</v>
      </c>
      <c r="G6" s="9" t="s">
        <v>1373</v>
      </c>
      <c r="H6" s="9" t="s">
        <v>1596</v>
      </c>
    </row>
    <row r="7" spans="1:8" s="9" customFormat="1" x14ac:dyDescent="0.25">
      <c r="A7" s="3" t="s">
        <v>11</v>
      </c>
      <c r="B7" s="9" t="s">
        <v>1374</v>
      </c>
      <c r="C7" s="9" t="s">
        <v>1362</v>
      </c>
      <c r="D7" s="9" t="s">
        <v>1375</v>
      </c>
      <c r="E7" s="15">
        <f>1977/5280</f>
        <v>0.3744318181818182</v>
      </c>
      <c r="F7" s="9" t="s">
        <v>202</v>
      </c>
      <c r="G7" s="9" t="s">
        <v>1376</v>
      </c>
      <c r="H7" s="9" t="s">
        <v>1596</v>
      </c>
    </row>
    <row r="8" spans="1:8" s="9" customFormat="1" x14ac:dyDescent="0.25">
      <c r="A8" s="3" t="s">
        <v>11</v>
      </c>
      <c r="B8" s="9" t="s">
        <v>1377</v>
      </c>
      <c r="C8" s="9" t="s">
        <v>1362</v>
      </c>
      <c r="D8" s="9" t="s">
        <v>1378</v>
      </c>
      <c r="E8" s="15">
        <f>1766/5280</f>
        <v>0.33446969696969697</v>
      </c>
      <c r="F8" s="9" t="s">
        <v>12</v>
      </c>
      <c r="H8" s="9" t="s">
        <v>1596</v>
      </c>
    </row>
    <row r="9" spans="1:8" s="9" customFormat="1" x14ac:dyDescent="0.25">
      <c r="A9" s="3" t="s">
        <v>11</v>
      </c>
      <c r="B9" s="9" t="s">
        <v>1379</v>
      </c>
      <c r="C9" s="9" t="s">
        <v>1362</v>
      </c>
      <c r="D9" s="9" t="s">
        <v>251</v>
      </c>
      <c r="E9" s="15">
        <f>(728+1145)/5280</f>
        <v>0.35473484848484849</v>
      </c>
      <c r="F9" s="9" t="s">
        <v>47</v>
      </c>
      <c r="G9" s="9" t="s">
        <v>1380</v>
      </c>
      <c r="H9" s="9" t="s">
        <v>1596</v>
      </c>
    </row>
    <row r="10" spans="1:8" s="9" customFormat="1" x14ac:dyDescent="0.25">
      <c r="A10" s="3" t="s">
        <v>11</v>
      </c>
      <c r="B10" s="9" t="s">
        <v>1381</v>
      </c>
      <c r="C10" s="9" t="s">
        <v>1362</v>
      </c>
      <c r="D10" s="9" t="s">
        <v>251</v>
      </c>
      <c r="E10" s="15">
        <f>630/5280</f>
        <v>0.11931818181818182</v>
      </c>
      <c r="F10" s="9" t="s">
        <v>1382</v>
      </c>
      <c r="H10" s="9" t="s">
        <v>1596</v>
      </c>
    </row>
    <row r="11" spans="1:8" s="9" customFormat="1" x14ac:dyDescent="0.25">
      <c r="A11" s="3" t="s">
        <v>11</v>
      </c>
      <c r="B11" s="9" t="s">
        <v>1383</v>
      </c>
      <c r="C11" s="9" t="s">
        <v>1362</v>
      </c>
      <c r="D11" s="9" t="s">
        <v>1384</v>
      </c>
      <c r="E11" s="15">
        <f>(600+575)/5280</f>
        <v>0.22253787878787878</v>
      </c>
      <c r="F11" s="9" t="s">
        <v>12</v>
      </c>
      <c r="G11" s="9" t="s">
        <v>1385</v>
      </c>
      <c r="H11" s="9" t="s">
        <v>1596</v>
      </c>
    </row>
    <row r="12" spans="1:8" s="9" customFormat="1" x14ac:dyDescent="0.25">
      <c r="A12" s="3" t="s">
        <v>11</v>
      </c>
      <c r="B12" s="9" t="s">
        <v>1386</v>
      </c>
      <c r="C12" s="9" t="s">
        <v>1362</v>
      </c>
      <c r="D12" s="9" t="s">
        <v>118</v>
      </c>
      <c r="E12" s="15">
        <f>(1241+500)/5280</f>
        <v>0.32973484848484846</v>
      </c>
      <c r="F12" s="9" t="s">
        <v>244</v>
      </c>
      <c r="G12" s="9" t="s">
        <v>1387</v>
      </c>
      <c r="H12" s="9" t="s">
        <v>1596</v>
      </c>
    </row>
    <row r="13" spans="1:8" s="9" customFormat="1" x14ac:dyDescent="0.25">
      <c r="A13" s="3" t="s">
        <v>11</v>
      </c>
      <c r="B13" s="9" t="s">
        <v>1388</v>
      </c>
      <c r="C13" s="9" t="s">
        <v>1362</v>
      </c>
      <c r="D13" s="9" t="s">
        <v>251</v>
      </c>
      <c r="E13" s="15">
        <f>2819/5280</f>
        <v>0.53390151515151518</v>
      </c>
      <c r="F13" s="9" t="s">
        <v>47</v>
      </c>
      <c r="G13" s="9" t="s">
        <v>1389</v>
      </c>
      <c r="H13" s="9" t="s">
        <v>1596</v>
      </c>
    </row>
    <row r="14" spans="1:8" s="9" customFormat="1" x14ac:dyDescent="0.25">
      <c r="A14" s="3" t="s">
        <v>11</v>
      </c>
      <c r="B14" s="9" t="s">
        <v>1390</v>
      </c>
      <c r="C14" s="9" t="s">
        <v>1362</v>
      </c>
      <c r="D14" s="9" t="s">
        <v>118</v>
      </c>
      <c r="E14" s="15">
        <f>(1301+197)/5280</f>
        <v>0.28371212121212119</v>
      </c>
      <c r="F14" s="9" t="s">
        <v>244</v>
      </c>
      <c r="H14" s="9" t="s">
        <v>1596</v>
      </c>
    </row>
    <row r="15" spans="1:8" s="9" customFormat="1" x14ac:dyDescent="0.25">
      <c r="A15" s="3" t="s">
        <v>11</v>
      </c>
      <c r="B15" s="9" t="s">
        <v>1391</v>
      </c>
      <c r="C15" s="9" t="s">
        <v>1362</v>
      </c>
      <c r="D15" s="9" t="s">
        <v>118</v>
      </c>
      <c r="E15" s="15">
        <f>3141/5280</f>
        <v>0.5948863636363636</v>
      </c>
      <c r="F15" s="9" t="s">
        <v>75</v>
      </c>
      <c r="H15" s="9" t="s">
        <v>1596</v>
      </c>
    </row>
    <row r="16" spans="1:8" x14ac:dyDescent="0.25">
      <c r="A16" s="3" t="s">
        <v>11</v>
      </c>
      <c r="B16" s="9" t="s">
        <v>1392</v>
      </c>
      <c r="C16" s="9" t="s">
        <v>1362</v>
      </c>
      <c r="D16" s="9" t="s">
        <v>118</v>
      </c>
      <c r="E16" s="31">
        <f>1823/5280</f>
        <v>0.34526515151515152</v>
      </c>
      <c r="F16" s="9" t="s">
        <v>75</v>
      </c>
      <c r="G16" s="9" t="s">
        <v>1393</v>
      </c>
      <c r="H16" s="9" t="s">
        <v>1596</v>
      </c>
    </row>
    <row r="17" spans="1:8" x14ac:dyDescent="0.25">
      <c r="A17" s="3" t="s">
        <v>11</v>
      </c>
      <c r="B17" s="9" t="s">
        <v>1394</v>
      </c>
      <c r="C17" s="9" t="s">
        <v>1395</v>
      </c>
      <c r="D17" s="9" t="s">
        <v>1396</v>
      </c>
      <c r="E17" s="31">
        <f>197/5280</f>
        <v>3.7310606060606058E-2</v>
      </c>
      <c r="F17" s="9" t="s">
        <v>1397</v>
      </c>
      <c r="G17" s="9" t="s">
        <v>506</v>
      </c>
      <c r="H17" s="9" t="s">
        <v>1596</v>
      </c>
    </row>
    <row r="18" spans="1:8" x14ac:dyDescent="0.25">
      <c r="A18" s="3" t="s">
        <v>11</v>
      </c>
      <c r="B18" s="9" t="s">
        <v>1399</v>
      </c>
      <c r="C18" s="9" t="s">
        <v>1395</v>
      </c>
      <c r="D18" s="9" t="s">
        <v>1396</v>
      </c>
      <c r="E18" s="34" t="s">
        <v>455</v>
      </c>
      <c r="F18" s="9" t="s">
        <v>1398</v>
      </c>
      <c r="G18" s="9" t="s">
        <v>1400</v>
      </c>
      <c r="H18" s="9" t="s">
        <v>1596</v>
      </c>
    </row>
    <row r="19" spans="1:8" x14ac:dyDescent="0.25">
      <c r="A19" s="3" t="s">
        <v>11</v>
      </c>
      <c r="B19" s="9" t="s">
        <v>1401</v>
      </c>
      <c r="C19" s="9" t="s">
        <v>1395</v>
      </c>
      <c r="D19" t="s">
        <v>1402</v>
      </c>
      <c r="E19" s="31">
        <f>2755/5280</f>
        <v>0.52178030303030298</v>
      </c>
      <c r="F19" s="9" t="s">
        <v>96</v>
      </c>
      <c r="G19" s="9" t="s">
        <v>1403</v>
      </c>
      <c r="H19" s="9" t="s">
        <v>1596</v>
      </c>
    </row>
    <row r="20" spans="1:8" x14ac:dyDescent="0.25">
      <c r="A20" s="3" t="s">
        <v>11</v>
      </c>
      <c r="B20" s="9" t="s">
        <v>1404</v>
      </c>
      <c r="C20" s="9" t="s">
        <v>1395</v>
      </c>
      <c r="D20" s="5" t="s">
        <v>68</v>
      </c>
      <c r="E20" s="31">
        <f>2952/5280</f>
        <v>0.55909090909090908</v>
      </c>
      <c r="F20" s="5" t="s">
        <v>74</v>
      </c>
      <c r="G20" s="9" t="s">
        <v>1198</v>
      </c>
      <c r="H20" s="9" t="s">
        <v>1596</v>
      </c>
    </row>
    <row r="21" spans="1:8" x14ac:dyDescent="0.25">
      <c r="A21" s="3" t="s">
        <v>11</v>
      </c>
      <c r="B21" s="9" t="s">
        <v>1406</v>
      </c>
      <c r="C21" s="9" t="s">
        <v>1395</v>
      </c>
      <c r="D21" t="s">
        <v>251</v>
      </c>
      <c r="E21" s="31">
        <f>606/5280</f>
        <v>0.11477272727272728</v>
      </c>
      <c r="F21" s="9" t="s">
        <v>1308</v>
      </c>
      <c r="G21" s="9" t="s">
        <v>1405</v>
      </c>
      <c r="H21" s="9" t="s">
        <v>1596</v>
      </c>
    </row>
    <row r="22" spans="1:8" x14ac:dyDescent="0.25">
      <c r="A22" s="3" t="s">
        <v>11</v>
      </c>
      <c r="B22" s="9" t="s">
        <v>1407</v>
      </c>
      <c r="C22" s="9" t="s">
        <v>1395</v>
      </c>
      <c r="D22" t="s">
        <v>1408</v>
      </c>
      <c r="E22" s="31">
        <f>2200/5280</f>
        <v>0.41666666666666669</v>
      </c>
      <c r="F22" s="9" t="s">
        <v>96</v>
      </c>
      <c r="G22" s="9" t="s">
        <v>1409</v>
      </c>
      <c r="H22" s="9" t="s">
        <v>1596</v>
      </c>
    </row>
    <row r="23" spans="1:8" x14ac:dyDescent="0.25">
      <c r="A23" s="3" t="s">
        <v>11</v>
      </c>
      <c r="B23" s="9" t="s">
        <v>1411</v>
      </c>
      <c r="C23" s="9" t="s">
        <v>1410</v>
      </c>
      <c r="D23" t="s">
        <v>251</v>
      </c>
      <c r="E23" s="31">
        <f>(264+2424+740+9990)/5280</f>
        <v>2.541287878787879</v>
      </c>
      <c r="F23" s="9" t="s">
        <v>1369</v>
      </c>
      <c r="G23" s="9" t="s">
        <v>1523</v>
      </c>
      <c r="H23" s="5" t="s">
        <v>1597</v>
      </c>
    </row>
    <row r="24" spans="1:8" x14ac:dyDescent="0.25">
      <c r="A24" s="3" t="s">
        <v>11</v>
      </c>
      <c r="B24" s="9" t="s">
        <v>1415</v>
      </c>
      <c r="C24" s="9" t="s">
        <v>1414</v>
      </c>
      <c r="D24" t="s">
        <v>1412</v>
      </c>
      <c r="E24" s="31">
        <f>(162+231)/5280</f>
        <v>7.4431818181818182E-2</v>
      </c>
      <c r="F24" s="9" t="s">
        <v>96</v>
      </c>
      <c r="G24" s="9" t="s">
        <v>1413</v>
      </c>
      <c r="H24" s="9" t="s">
        <v>1596</v>
      </c>
    </row>
    <row r="25" spans="1:8" x14ac:dyDescent="0.25">
      <c r="A25" s="3" t="s">
        <v>11</v>
      </c>
      <c r="B25" s="9" t="s">
        <v>1416</v>
      </c>
      <c r="C25" s="9" t="s">
        <v>1414</v>
      </c>
      <c r="D25" t="s">
        <v>1412</v>
      </c>
      <c r="E25" s="31">
        <f>1100/5280</f>
        <v>0.20833333333333334</v>
      </c>
      <c r="F25" s="9" t="s">
        <v>96</v>
      </c>
      <c r="G25" s="9" t="s">
        <v>1417</v>
      </c>
      <c r="H25" s="9" t="s">
        <v>1596</v>
      </c>
    </row>
    <row r="26" spans="1:8" x14ac:dyDescent="0.25">
      <c r="A26" s="3" t="s">
        <v>11</v>
      </c>
      <c r="B26" s="9" t="s">
        <v>1418</v>
      </c>
      <c r="C26" s="9" t="s">
        <v>1414</v>
      </c>
      <c r="D26" t="s">
        <v>1419</v>
      </c>
      <c r="E26" s="31">
        <f>2789/5280</f>
        <v>0.52821969696969695</v>
      </c>
      <c r="F26" s="9" t="s">
        <v>1420</v>
      </c>
      <c r="H26" s="9" t="s">
        <v>1596</v>
      </c>
    </row>
    <row r="27" spans="1:8" x14ac:dyDescent="0.25">
      <c r="A27" s="3" t="s">
        <v>11</v>
      </c>
      <c r="B27" s="9" t="s">
        <v>1421</v>
      </c>
      <c r="C27" s="9" t="s">
        <v>1414</v>
      </c>
      <c r="D27" t="s">
        <v>1422</v>
      </c>
      <c r="E27" s="31">
        <f>(164+685)/5280</f>
        <v>0.16079545454545455</v>
      </c>
      <c r="F27" s="9" t="s">
        <v>96</v>
      </c>
      <c r="G27" s="9" t="s">
        <v>1423</v>
      </c>
      <c r="H27" s="9" t="s">
        <v>1596</v>
      </c>
    </row>
    <row r="28" spans="1:8" x14ac:dyDescent="0.25">
      <c r="A28" s="3" t="s">
        <v>11</v>
      </c>
      <c r="B28" s="9" t="s">
        <v>1424</v>
      </c>
      <c r="C28" s="9" t="s">
        <v>1414</v>
      </c>
      <c r="D28" t="s">
        <v>1435</v>
      </c>
      <c r="E28" s="31">
        <f>1477/5280</f>
        <v>0.27973484848484848</v>
      </c>
      <c r="F28" s="9" t="s">
        <v>12</v>
      </c>
      <c r="G28" s="9" t="s">
        <v>1425</v>
      </c>
      <c r="H28" s="9" t="s">
        <v>1596</v>
      </c>
    </row>
    <row r="29" spans="1:8" x14ac:dyDescent="0.25">
      <c r="A29" s="3" t="s">
        <v>11</v>
      </c>
      <c r="B29" s="9" t="s">
        <v>1426</v>
      </c>
      <c r="C29" s="9" t="s">
        <v>1414</v>
      </c>
      <c r="D29" t="s">
        <v>1435</v>
      </c>
      <c r="E29" s="16">
        <f>831/5280</f>
        <v>0.15738636363636363</v>
      </c>
      <c r="F29" s="5" t="s">
        <v>12</v>
      </c>
      <c r="G29" s="9" t="s">
        <v>1427</v>
      </c>
      <c r="H29" s="9" t="s">
        <v>1596</v>
      </c>
    </row>
    <row r="30" spans="1:8" x14ac:dyDescent="0.25">
      <c r="A30" s="3" t="s">
        <v>11</v>
      </c>
      <c r="B30" s="9" t="s">
        <v>1429</v>
      </c>
      <c r="C30" s="9" t="s">
        <v>1414</v>
      </c>
      <c r="D30" t="s">
        <v>1435</v>
      </c>
      <c r="E30" s="31">
        <f>3241/5280</f>
        <v>0.61382575757575752</v>
      </c>
      <c r="F30" s="9" t="s">
        <v>12</v>
      </c>
      <c r="G30" s="9" t="s">
        <v>1428</v>
      </c>
      <c r="H30" s="9" t="s">
        <v>1596</v>
      </c>
    </row>
    <row r="31" spans="1:8" x14ac:dyDescent="0.25">
      <c r="A31" s="3" t="s">
        <v>11</v>
      </c>
      <c r="B31" s="9" t="s">
        <v>1430</v>
      </c>
      <c r="C31" s="9" t="s">
        <v>1414</v>
      </c>
      <c r="D31" t="s">
        <v>1435</v>
      </c>
      <c r="E31" s="31">
        <f>2229/5280</f>
        <v>0.42215909090909093</v>
      </c>
      <c r="F31" s="9" t="s">
        <v>12</v>
      </c>
      <c r="G31" s="9" t="s">
        <v>1431</v>
      </c>
      <c r="H31" s="9" t="s">
        <v>1596</v>
      </c>
    </row>
    <row r="32" spans="1:8" x14ac:dyDescent="0.25">
      <c r="A32" s="3" t="s">
        <v>11</v>
      </c>
      <c r="B32" s="9" t="s">
        <v>1432</v>
      </c>
      <c r="C32" s="9" t="s">
        <v>1414</v>
      </c>
      <c r="D32" s="9" t="s">
        <v>1433</v>
      </c>
      <c r="E32" s="31">
        <f>(1873+1253+3994)/5280</f>
        <v>1.3484848484848484</v>
      </c>
      <c r="F32" s="9" t="s">
        <v>1308</v>
      </c>
      <c r="G32" s="9" t="s">
        <v>1434</v>
      </c>
      <c r="H32" s="9" t="s">
        <v>1596</v>
      </c>
    </row>
    <row r="33" spans="1:8" x14ac:dyDescent="0.25">
      <c r="A33" s="3" t="s">
        <v>11</v>
      </c>
      <c r="B33" s="9" t="s">
        <v>1218</v>
      </c>
      <c r="C33" s="9" t="s">
        <v>1414</v>
      </c>
      <c r="D33" s="9" t="s">
        <v>1433</v>
      </c>
      <c r="E33" s="31">
        <f>6528/5280</f>
        <v>1.2363636363636363</v>
      </c>
      <c r="F33" s="9" t="s">
        <v>96</v>
      </c>
      <c r="G33" s="9" t="s">
        <v>1436</v>
      </c>
      <c r="H33" s="9" t="s">
        <v>1596</v>
      </c>
    </row>
    <row r="34" spans="1:8" x14ac:dyDescent="0.25">
      <c r="A34" s="3" t="s">
        <v>11</v>
      </c>
      <c r="B34" s="9" t="s">
        <v>1437</v>
      </c>
      <c r="C34" s="9" t="s">
        <v>1414</v>
      </c>
      <c r="D34" s="9" t="s">
        <v>1433</v>
      </c>
      <c r="E34" s="31">
        <f>(646+675)/5280</f>
        <v>0.25018939393939393</v>
      </c>
      <c r="F34" s="9" t="s">
        <v>12</v>
      </c>
      <c r="G34" s="9" t="s">
        <v>1438</v>
      </c>
      <c r="H34" s="9" t="s">
        <v>1596</v>
      </c>
    </row>
    <row r="35" spans="1:8" x14ac:dyDescent="0.25">
      <c r="A35" s="3" t="s">
        <v>11</v>
      </c>
      <c r="B35" s="9" t="s">
        <v>1439</v>
      </c>
      <c r="C35" s="9" t="s">
        <v>1414</v>
      </c>
      <c r="D35" s="9" t="s">
        <v>1440</v>
      </c>
      <c r="E35" s="31">
        <f>(1945+1308)/5280</f>
        <v>0.61609848484848484</v>
      </c>
      <c r="F35" s="9" t="s">
        <v>47</v>
      </c>
      <c r="G35" s="9" t="s">
        <v>1519</v>
      </c>
      <c r="H35" s="9" t="s">
        <v>1596</v>
      </c>
    </row>
    <row r="36" spans="1:8" x14ac:dyDescent="0.25">
      <c r="A36" s="3" t="s">
        <v>11</v>
      </c>
      <c r="B36" s="9" t="s">
        <v>1441</v>
      </c>
      <c r="C36" s="9" t="s">
        <v>1414</v>
      </c>
      <c r="D36" s="9" t="s">
        <v>1440</v>
      </c>
      <c r="E36" s="31">
        <f>1841/5280</f>
        <v>0.34867424242424244</v>
      </c>
      <c r="F36" s="9" t="s">
        <v>96</v>
      </c>
      <c r="G36" s="9" t="s">
        <v>1442</v>
      </c>
      <c r="H36" s="9" t="s">
        <v>1596</v>
      </c>
    </row>
    <row r="37" spans="1:8" x14ac:dyDescent="0.25">
      <c r="A37" s="3" t="s">
        <v>11</v>
      </c>
      <c r="B37" s="14" t="s">
        <v>1509</v>
      </c>
      <c r="C37" s="9" t="s">
        <v>1414</v>
      </c>
      <c r="D37" s="5" t="s">
        <v>1510</v>
      </c>
      <c r="E37" s="31">
        <f>(2137+869)/5280</f>
        <v>0.56931818181818183</v>
      </c>
      <c r="F37" s="9" t="s">
        <v>1308</v>
      </c>
      <c r="H37" s="9" t="s">
        <v>1596</v>
      </c>
    </row>
    <row r="38" spans="1:8" x14ac:dyDescent="0.25">
      <c r="A38" s="3" t="s">
        <v>11</v>
      </c>
      <c r="B38" s="9" t="s">
        <v>1507</v>
      </c>
      <c r="C38" s="9" t="s">
        <v>1414</v>
      </c>
      <c r="D38" s="9" t="s">
        <v>68</v>
      </c>
      <c r="E38" s="31">
        <f>2591/5280</f>
        <v>0.49071969696969697</v>
      </c>
      <c r="F38" s="9" t="s">
        <v>74</v>
      </c>
      <c r="G38" s="9" t="s">
        <v>1443</v>
      </c>
      <c r="H38" s="9" t="s">
        <v>1596</v>
      </c>
    </row>
    <row r="39" spans="1:8" x14ac:dyDescent="0.25">
      <c r="A39" s="3" t="s">
        <v>11</v>
      </c>
      <c r="B39" s="9" t="s">
        <v>1444</v>
      </c>
      <c r="C39" s="9" t="s">
        <v>1445</v>
      </c>
      <c r="D39" s="9" t="s">
        <v>1446</v>
      </c>
      <c r="E39" s="31">
        <f>3515/5280</f>
        <v>0.66571969696969702</v>
      </c>
      <c r="F39" s="9" t="s">
        <v>202</v>
      </c>
      <c r="G39" s="9" t="s">
        <v>1447</v>
      </c>
      <c r="H39" s="9" t="s">
        <v>1596</v>
      </c>
    </row>
    <row r="40" spans="1:8" x14ac:dyDescent="0.25">
      <c r="A40" s="3" t="s">
        <v>11</v>
      </c>
      <c r="B40" s="9" t="s">
        <v>1448</v>
      </c>
      <c r="C40" s="9" t="s">
        <v>1445</v>
      </c>
      <c r="D40" s="9" t="s">
        <v>251</v>
      </c>
      <c r="E40" s="31">
        <f>(1191+1478)/5280</f>
        <v>0.50549242424242424</v>
      </c>
      <c r="F40" s="9" t="s">
        <v>202</v>
      </c>
      <c r="G40" s="9" t="s">
        <v>1449</v>
      </c>
      <c r="H40" s="9" t="s">
        <v>1596</v>
      </c>
    </row>
    <row r="41" spans="1:8" x14ac:dyDescent="0.25">
      <c r="A41" s="3" t="s">
        <v>11</v>
      </c>
      <c r="B41" s="9" t="s">
        <v>1450</v>
      </c>
      <c r="C41" s="9" t="s">
        <v>1445</v>
      </c>
      <c r="D41" s="9" t="s">
        <v>1446</v>
      </c>
      <c r="E41" s="31">
        <f>8204/5280</f>
        <v>1.5537878787878787</v>
      </c>
      <c r="F41" s="9" t="s">
        <v>12</v>
      </c>
      <c r="G41" s="9" t="s">
        <v>1451</v>
      </c>
      <c r="H41" s="9" t="s">
        <v>1596</v>
      </c>
    </row>
    <row r="42" spans="1:8" x14ac:dyDescent="0.25">
      <c r="A42" s="3" t="s">
        <v>11</v>
      </c>
      <c r="B42" s="9" t="s">
        <v>1452</v>
      </c>
      <c r="C42" s="9" t="s">
        <v>1445</v>
      </c>
      <c r="D42" s="9" t="s">
        <v>1453</v>
      </c>
      <c r="E42" s="31">
        <f>4783/5280</f>
        <v>0.90587121212121213</v>
      </c>
      <c r="F42" s="9" t="s">
        <v>12</v>
      </c>
      <c r="G42" s="9" t="s">
        <v>1454</v>
      </c>
      <c r="H42" s="9" t="s">
        <v>1596</v>
      </c>
    </row>
    <row r="43" spans="1:8" x14ac:dyDescent="0.25">
      <c r="A43" s="3" t="s">
        <v>11</v>
      </c>
      <c r="B43" s="9" t="s">
        <v>1455</v>
      </c>
      <c r="C43" s="9" t="s">
        <v>1445</v>
      </c>
      <c r="D43" s="9" t="s">
        <v>1453</v>
      </c>
      <c r="E43" s="31">
        <f>(910+525+624+4779+1376)/5280</f>
        <v>1.5556818181818182</v>
      </c>
      <c r="F43" s="9" t="s">
        <v>12</v>
      </c>
      <c r="G43" s="9" t="s">
        <v>1456</v>
      </c>
      <c r="H43" s="9" t="s">
        <v>1596</v>
      </c>
    </row>
    <row r="44" spans="1:8" x14ac:dyDescent="0.25">
      <c r="A44" s="3" t="s">
        <v>11</v>
      </c>
      <c r="B44" s="9" t="s">
        <v>1457</v>
      </c>
      <c r="C44" s="9" t="s">
        <v>1445</v>
      </c>
      <c r="D44" s="9" t="s">
        <v>1453</v>
      </c>
      <c r="E44" s="31">
        <f>544/5280</f>
        <v>0.10303030303030303</v>
      </c>
      <c r="F44" s="9" t="s">
        <v>12</v>
      </c>
      <c r="G44" s="9" t="s">
        <v>1458</v>
      </c>
      <c r="H44" s="9" t="s">
        <v>1596</v>
      </c>
    </row>
    <row r="45" spans="1:8" x14ac:dyDescent="0.25">
      <c r="A45" s="3" t="s">
        <v>11</v>
      </c>
      <c r="B45" s="9" t="s">
        <v>1459</v>
      </c>
      <c r="C45" s="9" t="s">
        <v>1445</v>
      </c>
      <c r="D45" s="9" t="s">
        <v>1460</v>
      </c>
      <c r="E45" s="31">
        <f>2067/5280</f>
        <v>0.39147727272727273</v>
      </c>
      <c r="F45" s="9" t="s">
        <v>96</v>
      </c>
      <c r="G45" s="9" t="s">
        <v>1461</v>
      </c>
      <c r="H45" s="9" t="s">
        <v>1596</v>
      </c>
    </row>
    <row r="46" spans="1:8" x14ac:dyDescent="0.25">
      <c r="A46" s="3" t="s">
        <v>11</v>
      </c>
      <c r="B46" s="9" t="s">
        <v>1462</v>
      </c>
      <c r="C46" s="9" t="s">
        <v>1445</v>
      </c>
      <c r="D46" s="9" t="s">
        <v>1460</v>
      </c>
      <c r="E46" s="31">
        <f>1096/5280</f>
        <v>0.20757575757575758</v>
      </c>
      <c r="F46" s="9" t="s">
        <v>96</v>
      </c>
      <c r="G46" s="9" t="s">
        <v>1463</v>
      </c>
      <c r="H46" s="9" t="s">
        <v>1596</v>
      </c>
    </row>
    <row r="47" spans="1:8" x14ac:dyDescent="0.25">
      <c r="A47" s="3" t="s">
        <v>11</v>
      </c>
      <c r="B47" s="9" t="s">
        <v>1464</v>
      </c>
      <c r="C47" s="9" t="s">
        <v>1445</v>
      </c>
      <c r="D47" s="9" t="s">
        <v>1460</v>
      </c>
      <c r="E47" s="31">
        <f>729/5280</f>
        <v>0.13806818181818181</v>
      </c>
      <c r="F47" s="9" t="s">
        <v>96</v>
      </c>
      <c r="G47" s="9" t="s">
        <v>1465</v>
      </c>
      <c r="H47" s="9" t="s">
        <v>1596</v>
      </c>
    </row>
    <row r="48" spans="1:8" x14ac:dyDescent="0.25">
      <c r="A48" s="3" t="s">
        <v>11</v>
      </c>
      <c r="B48" s="9" t="s">
        <v>1466</v>
      </c>
      <c r="C48" s="9" t="s">
        <v>1445</v>
      </c>
      <c r="D48" s="9" t="s">
        <v>1219</v>
      </c>
      <c r="E48" s="31">
        <f>730/5280</f>
        <v>0.13825757575757575</v>
      </c>
      <c r="F48" s="9" t="s">
        <v>96</v>
      </c>
      <c r="G48" s="9" t="s">
        <v>1467</v>
      </c>
      <c r="H48" s="9" t="s">
        <v>1596</v>
      </c>
    </row>
    <row r="49" spans="1:8" x14ac:dyDescent="0.25">
      <c r="A49" s="3" t="s">
        <v>11</v>
      </c>
      <c r="B49" s="9" t="s">
        <v>1468</v>
      </c>
      <c r="C49" s="9" t="s">
        <v>1445</v>
      </c>
      <c r="D49" s="9" t="s">
        <v>251</v>
      </c>
      <c r="E49" s="31">
        <f>(3336+1566)/5280</f>
        <v>0.92840909090909096</v>
      </c>
      <c r="F49" s="9" t="s">
        <v>47</v>
      </c>
      <c r="G49" s="9" t="s">
        <v>1469</v>
      </c>
      <c r="H49" s="9" t="s">
        <v>1596</v>
      </c>
    </row>
    <row r="50" spans="1:8" x14ac:dyDescent="0.25">
      <c r="A50" s="3" t="s">
        <v>11</v>
      </c>
      <c r="B50" s="9" t="s">
        <v>1470</v>
      </c>
      <c r="C50" s="9" t="s">
        <v>1445</v>
      </c>
      <c r="D50" s="9" t="s">
        <v>1219</v>
      </c>
      <c r="E50" s="31">
        <f>(3944+1397)/5280</f>
        <v>1.0115530303030302</v>
      </c>
      <c r="F50" s="9" t="s">
        <v>202</v>
      </c>
      <c r="G50" s="9" t="s">
        <v>1471</v>
      </c>
      <c r="H50" s="9" t="s">
        <v>1596</v>
      </c>
    </row>
    <row r="51" spans="1:8" x14ac:dyDescent="0.25">
      <c r="A51" s="3" t="s">
        <v>11</v>
      </c>
      <c r="B51" s="9" t="s">
        <v>1472</v>
      </c>
      <c r="C51" s="9" t="s">
        <v>1445</v>
      </c>
      <c r="D51" s="9" t="s">
        <v>1219</v>
      </c>
      <c r="E51" s="31">
        <f>8659/5280</f>
        <v>1.6399621212121211</v>
      </c>
      <c r="F51" s="9" t="s">
        <v>75</v>
      </c>
      <c r="H51" s="9" t="s">
        <v>1596</v>
      </c>
    </row>
    <row r="52" spans="1:8" x14ac:dyDescent="0.25">
      <c r="A52" s="3" t="s">
        <v>11</v>
      </c>
      <c r="B52" s="9" t="s">
        <v>1473</v>
      </c>
      <c r="C52" s="9" t="s">
        <v>1445</v>
      </c>
      <c r="D52" s="9" t="s">
        <v>1474</v>
      </c>
      <c r="E52" s="31">
        <f>(525+793)/5280</f>
        <v>0.24962121212121213</v>
      </c>
      <c r="F52" s="9" t="s">
        <v>75</v>
      </c>
      <c r="G52" s="9" t="s">
        <v>1475</v>
      </c>
      <c r="H52" s="9" t="s">
        <v>1596</v>
      </c>
    </row>
    <row r="53" spans="1:8" x14ac:dyDescent="0.25">
      <c r="A53" s="3" t="s">
        <v>11</v>
      </c>
      <c r="B53" s="9" t="s">
        <v>1476</v>
      </c>
      <c r="C53" s="9" t="s">
        <v>1445</v>
      </c>
      <c r="D53" s="9" t="s">
        <v>1219</v>
      </c>
      <c r="E53" s="31">
        <f>522/5280</f>
        <v>9.8863636363636362E-2</v>
      </c>
      <c r="F53" s="9" t="s">
        <v>12</v>
      </c>
      <c r="G53" s="9" t="s">
        <v>1477</v>
      </c>
      <c r="H53" s="9" t="s">
        <v>1596</v>
      </c>
    </row>
    <row r="54" spans="1:8" x14ac:dyDescent="0.25">
      <c r="A54" s="3" t="s">
        <v>11</v>
      </c>
      <c r="B54" s="9" t="s">
        <v>1478</v>
      </c>
      <c r="C54" s="9" t="s">
        <v>1445</v>
      </c>
      <c r="D54" s="9" t="s">
        <v>1480</v>
      </c>
      <c r="E54" s="31">
        <f>1116/5280</f>
        <v>0.21136363636363636</v>
      </c>
      <c r="F54" s="9" t="s">
        <v>96</v>
      </c>
      <c r="G54" s="9" t="s">
        <v>1481</v>
      </c>
      <c r="H54" s="9" t="s">
        <v>1596</v>
      </c>
    </row>
    <row r="55" spans="1:8" x14ac:dyDescent="0.25">
      <c r="A55" s="3" t="s">
        <v>11</v>
      </c>
      <c r="B55" s="9" t="s">
        <v>1479</v>
      </c>
      <c r="C55" s="9" t="s">
        <v>1445</v>
      </c>
      <c r="D55" s="9" t="s">
        <v>1480</v>
      </c>
      <c r="E55" s="31">
        <f>(1081+1515)/5280</f>
        <v>0.49166666666666664</v>
      </c>
      <c r="F55" s="9" t="s">
        <v>12</v>
      </c>
      <c r="G55" s="9" t="s">
        <v>1482</v>
      </c>
      <c r="H55" s="9" t="s">
        <v>1596</v>
      </c>
    </row>
    <row r="56" spans="1:8" x14ac:dyDescent="0.25">
      <c r="A56" s="3" t="s">
        <v>11</v>
      </c>
      <c r="B56" s="9" t="s">
        <v>1504</v>
      </c>
      <c r="C56" s="9" t="s">
        <v>1445</v>
      </c>
      <c r="D56" s="9" t="s">
        <v>68</v>
      </c>
      <c r="E56" s="31">
        <f>922/5280</f>
        <v>0.17462121212121212</v>
      </c>
      <c r="F56" s="9" t="s">
        <v>74</v>
      </c>
      <c r="G56" s="9" t="s">
        <v>1483</v>
      </c>
      <c r="H56" s="9" t="s">
        <v>1596</v>
      </c>
    </row>
    <row r="57" spans="1:8" x14ac:dyDescent="0.25">
      <c r="A57" s="3" t="s">
        <v>11</v>
      </c>
      <c r="B57" s="9" t="s">
        <v>1484</v>
      </c>
      <c r="C57" s="9" t="s">
        <v>1445</v>
      </c>
      <c r="D57" s="9" t="s">
        <v>1480</v>
      </c>
      <c r="E57" s="31">
        <f>2993/5280</f>
        <v>0.56685606060606064</v>
      </c>
      <c r="F57" s="9" t="s">
        <v>75</v>
      </c>
      <c r="G57" s="9" t="s">
        <v>1485</v>
      </c>
      <c r="H57" s="9" t="s">
        <v>1596</v>
      </c>
    </row>
    <row r="58" spans="1:8" x14ac:dyDescent="0.25">
      <c r="A58" s="3" t="s">
        <v>11</v>
      </c>
      <c r="B58" s="9" t="s">
        <v>1505</v>
      </c>
      <c r="C58" s="9" t="s">
        <v>1445</v>
      </c>
      <c r="D58" s="9" t="s">
        <v>68</v>
      </c>
      <c r="E58" s="31">
        <f>(5179+500+324)/5280</f>
        <v>1.1369318181818182</v>
      </c>
      <c r="F58" s="9" t="s">
        <v>74</v>
      </c>
      <c r="G58" s="9" t="s">
        <v>1486</v>
      </c>
      <c r="H58" s="9" t="s">
        <v>1596</v>
      </c>
    </row>
    <row r="59" spans="1:8" x14ac:dyDescent="0.25">
      <c r="A59" s="3" t="s">
        <v>11</v>
      </c>
      <c r="B59" s="9" t="s">
        <v>1506</v>
      </c>
      <c r="C59" s="9" t="s">
        <v>1445</v>
      </c>
      <c r="D59" s="9" t="s">
        <v>68</v>
      </c>
      <c r="E59" s="31">
        <f>(7042+626+592)/5280</f>
        <v>1.5643939393939394</v>
      </c>
      <c r="F59" s="9" t="s">
        <v>74</v>
      </c>
      <c r="G59" s="9" t="s">
        <v>1511</v>
      </c>
      <c r="H59" s="9" t="s">
        <v>1596</v>
      </c>
    </row>
    <row r="60" spans="1:8" x14ac:dyDescent="0.25">
      <c r="A60" s="3" t="s">
        <v>11</v>
      </c>
      <c r="B60" s="9" t="s">
        <v>1489</v>
      </c>
      <c r="C60" s="9" t="s">
        <v>1445</v>
      </c>
      <c r="D60" s="9" t="s">
        <v>1480</v>
      </c>
      <c r="E60" s="31">
        <f>4795/5280</f>
        <v>0.90814393939393945</v>
      </c>
      <c r="F60" s="9" t="s">
        <v>75</v>
      </c>
      <c r="G60" s="9" t="s">
        <v>1487</v>
      </c>
      <c r="H60" s="9" t="s">
        <v>1596</v>
      </c>
    </row>
    <row r="61" spans="1:8" x14ac:dyDescent="0.25">
      <c r="A61" s="3" t="s">
        <v>11</v>
      </c>
      <c r="B61" s="9" t="s">
        <v>1488</v>
      </c>
      <c r="C61" s="9" t="s">
        <v>1445</v>
      </c>
      <c r="D61" s="9" t="s">
        <v>1480</v>
      </c>
      <c r="E61" s="31">
        <f>3118/5280</f>
        <v>0.59053030303030307</v>
      </c>
      <c r="F61" s="9" t="s">
        <v>75</v>
      </c>
      <c r="G61" s="9" t="s">
        <v>1487</v>
      </c>
      <c r="H61" s="9" t="s">
        <v>1596</v>
      </c>
    </row>
    <row r="62" spans="1:8" x14ac:dyDescent="0.25">
      <c r="A62" s="3" t="s">
        <v>11</v>
      </c>
      <c r="B62" s="9" t="s">
        <v>1490</v>
      </c>
      <c r="C62" s="9" t="s">
        <v>1445</v>
      </c>
      <c r="D62" t="s">
        <v>1491</v>
      </c>
      <c r="E62" s="31">
        <f>(777+332)/5280</f>
        <v>0.2100378787878788</v>
      </c>
      <c r="F62" t="s">
        <v>202</v>
      </c>
      <c r="G62" s="9" t="s">
        <v>1492</v>
      </c>
      <c r="H62" s="9" t="s">
        <v>1596</v>
      </c>
    </row>
    <row r="63" spans="1:8" x14ac:dyDescent="0.25">
      <c r="A63" s="3" t="s">
        <v>11</v>
      </c>
      <c r="B63" s="9" t="s">
        <v>1493</v>
      </c>
      <c r="C63" s="9" t="s">
        <v>1445</v>
      </c>
      <c r="D63" t="s">
        <v>1491</v>
      </c>
      <c r="E63" s="31">
        <f>(550+585)/5280</f>
        <v>0.21496212121212122</v>
      </c>
      <c r="F63" t="s">
        <v>202</v>
      </c>
      <c r="G63" s="9" t="s">
        <v>1494</v>
      </c>
      <c r="H63" s="9" t="s">
        <v>1596</v>
      </c>
    </row>
    <row r="64" spans="1:8" x14ac:dyDescent="0.25">
      <c r="A64" s="3" t="s">
        <v>11</v>
      </c>
      <c r="B64" s="9" t="s">
        <v>1495</v>
      </c>
      <c r="C64" s="9" t="s">
        <v>1445</v>
      </c>
      <c r="D64" t="s">
        <v>1497</v>
      </c>
      <c r="E64" s="31">
        <f>1779/5280</f>
        <v>0.33693181818181817</v>
      </c>
      <c r="F64" t="s">
        <v>202</v>
      </c>
      <c r="G64" s="9" t="s">
        <v>1496</v>
      </c>
      <c r="H64" s="9" t="s">
        <v>1596</v>
      </c>
    </row>
    <row r="65" spans="1:8" x14ac:dyDescent="0.25">
      <c r="A65" s="3" t="s">
        <v>11</v>
      </c>
      <c r="B65" s="9" t="s">
        <v>560</v>
      </c>
      <c r="C65" s="9" t="s">
        <v>1445</v>
      </c>
      <c r="D65" t="s">
        <v>1497</v>
      </c>
      <c r="E65" s="31">
        <f>881/5280</f>
        <v>0.16685606060606062</v>
      </c>
      <c r="F65" t="s">
        <v>96</v>
      </c>
      <c r="G65" s="9" t="s">
        <v>1498</v>
      </c>
      <c r="H65" s="9" t="s">
        <v>1596</v>
      </c>
    </row>
    <row r="66" spans="1:8" x14ac:dyDescent="0.25">
      <c r="A66" s="3" t="s">
        <v>11</v>
      </c>
      <c r="B66" s="9" t="s">
        <v>1499</v>
      </c>
      <c r="C66" s="9" t="s">
        <v>1445</v>
      </c>
      <c r="D66" t="s">
        <v>1500</v>
      </c>
      <c r="E66" s="31">
        <f>(872+1564+1792+549)/5280</f>
        <v>0.90473484848484853</v>
      </c>
      <c r="F66" t="s">
        <v>12</v>
      </c>
      <c r="G66" s="9" t="s">
        <v>1501</v>
      </c>
      <c r="H66" s="9" t="s">
        <v>1596</v>
      </c>
    </row>
    <row r="67" spans="1:8" x14ac:dyDescent="0.25">
      <c r="A67" s="3" t="s">
        <v>11</v>
      </c>
      <c r="B67" s="9" t="s">
        <v>1502</v>
      </c>
      <c r="C67" s="9" t="s">
        <v>1445</v>
      </c>
      <c r="D67" t="s">
        <v>1500</v>
      </c>
      <c r="E67" s="31">
        <f>1393/5280</f>
        <v>0.2638257575757576</v>
      </c>
      <c r="F67" t="s">
        <v>75</v>
      </c>
      <c r="H67" s="9" t="s">
        <v>1596</v>
      </c>
    </row>
    <row r="68" spans="1:8" x14ac:dyDescent="0.25">
      <c r="A68" s="3" t="s">
        <v>11</v>
      </c>
      <c r="B68" s="9" t="s">
        <v>1503</v>
      </c>
      <c r="C68" s="9" t="s">
        <v>1445</v>
      </c>
      <c r="D68" t="s">
        <v>1500</v>
      </c>
      <c r="E68" s="31">
        <f>806/5280</f>
        <v>0.15265151515151515</v>
      </c>
      <c r="F68" t="s">
        <v>75</v>
      </c>
      <c r="H68" s="9" t="s">
        <v>1596</v>
      </c>
    </row>
    <row r="69" spans="1:8" x14ac:dyDescent="0.25">
      <c r="A69" s="3" t="s">
        <v>11</v>
      </c>
      <c r="B69" s="9" t="s">
        <v>1508</v>
      </c>
      <c r="C69" s="9" t="s">
        <v>1445</v>
      </c>
      <c r="D69" s="32" t="s">
        <v>68</v>
      </c>
      <c r="E69" s="31">
        <f>(884+680)/5280</f>
        <v>0.2962121212121212</v>
      </c>
      <c r="F69" s="32" t="s">
        <v>74</v>
      </c>
      <c r="G69" s="32" t="s">
        <v>1120</v>
      </c>
      <c r="H69" s="9" t="s">
        <v>1596</v>
      </c>
    </row>
    <row r="70" spans="1:8" x14ac:dyDescent="0.25">
      <c r="A70" s="3"/>
    </row>
    <row r="71" spans="1:8" x14ac:dyDescent="0.25">
      <c r="A71" s="3"/>
      <c r="D71" s="29" t="s">
        <v>329</v>
      </c>
      <c r="E71" s="18">
        <f>SUM(E2:E69)</f>
        <v>35.101704545454545</v>
      </c>
    </row>
    <row r="72" spans="1:8" x14ac:dyDescent="0.25">
      <c r="A72" s="3"/>
      <c r="E72" s="36">
        <f>E71/82.16</f>
        <v>0.42723593653182262</v>
      </c>
    </row>
    <row r="73" spans="1:8" x14ac:dyDescent="0.25">
      <c r="A73" s="3"/>
    </row>
    <row r="74" spans="1:8" x14ac:dyDescent="0.25">
      <c r="A74" s="42" t="s">
        <v>1598</v>
      </c>
      <c r="B74" s="43" t="s">
        <v>1599</v>
      </c>
    </row>
    <row r="75" spans="1:8" x14ac:dyDescent="0.25">
      <c r="A75" s="42"/>
      <c r="B75" s="43" t="s">
        <v>1600</v>
      </c>
    </row>
    <row r="76" spans="1:8" x14ac:dyDescent="0.25">
      <c r="A76" s="3"/>
      <c r="B76" s="43" t="s">
        <v>1609</v>
      </c>
    </row>
    <row r="77" spans="1:8" x14ac:dyDescent="0.25">
      <c r="A77" s="3"/>
      <c r="B77" s="43" t="s">
        <v>1614</v>
      </c>
    </row>
    <row r="78" spans="1:8" x14ac:dyDescent="0.25">
      <c r="A78" s="3"/>
    </row>
    <row r="79" spans="1:8" x14ac:dyDescent="0.25">
      <c r="A79" s="3"/>
    </row>
    <row r="80" spans="1:8" x14ac:dyDescent="0.25">
      <c r="A80" s="3"/>
    </row>
    <row r="81" spans="1:1" x14ac:dyDescent="0.25">
      <c r="A81" s="3"/>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pane ySplit="1" topLeftCell="A2" activePane="bottomLeft" state="frozen"/>
      <selection pane="bottomLeft"/>
    </sheetView>
  </sheetViews>
  <sheetFormatPr defaultRowHeight="15" x14ac:dyDescent="0.25"/>
  <cols>
    <col min="1" max="1" width="12.42578125" customWidth="1"/>
    <col min="2" max="2" width="38" customWidth="1"/>
    <col min="3" max="3" width="14" customWidth="1"/>
    <col min="4" max="4" width="39.140625" customWidth="1"/>
    <col min="5" max="5" width="15.7109375" customWidth="1"/>
    <col min="6" max="6" width="49" customWidth="1"/>
    <col min="7" max="7" width="36.140625" customWidth="1"/>
    <col min="8" max="8" width="30.85546875" customWidth="1"/>
  </cols>
  <sheetData>
    <row r="1" spans="1:8" s="1" customFormat="1" ht="45" x14ac:dyDescent="0.25">
      <c r="A1" s="1" t="s">
        <v>0</v>
      </c>
      <c r="B1" s="1" t="s">
        <v>1</v>
      </c>
      <c r="C1" s="1" t="s">
        <v>2</v>
      </c>
      <c r="D1" s="1" t="s">
        <v>3</v>
      </c>
      <c r="E1" s="2" t="s">
        <v>71</v>
      </c>
      <c r="F1" s="1" t="s">
        <v>4</v>
      </c>
      <c r="G1" s="1" t="s">
        <v>5</v>
      </c>
      <c r="H1" s="1" t="s">
        <v>6</v>
      </c>
    </row>
    <row r="2" spans="1:8" s="9" customFormat="1" x14ac:dyDescent="0.25">
      <c r="A2" s="3" t="s">
        <v>83</v>
      </c>
      <c r="B2" s="9" t="s">
        <v>165</v>
      </c>
      <c r="C2" s="9" t="s">
        <v>62</v>
      </c>
      <c r="D2" s="9" t="s">
        <v>166</v>
      </c>
      <c r="E2" s="4">
        <v>3.81</v>
      </c>
      <c r="F2" s="9" t="s">
        <v>171</v>
      </c>
      <c r="G2" s="9" t="s">
        <v>167</v>
      </c>
      <c r="H2" s="11" t="s">
        <v>1606</v>
      </c>
    </row>
    <row r="3" spans="1:8" s="9" customFormat="1" x14ac:dyDescent="0.25">
      <c r="A3" s="3" t="s">
        <v>83</v>
      </c>
      <c r="B3" s="9" t="s">
        <v>84</v>
      </c>
      <c r="C3" s="9" t="s">
        <v>62</v>
      </c>
      <c r="D3" s="9" t="s">
        <v>88</v>
      </c>
      <c r="E3" s="15">
        <f>2546/5280</f>
        <v>0.48219696969696968</v>
      </c>
      <c r="F3" s="9" t="s">
        <v>12</v>
      </c>
      <c r="G3" s="9" t="s">
        <v>168</v>
      </c>
      <c r="H3" s="11" t="s">
        <v>1606</v>
      </c>
    </row>
    <row r="4" spans="1:8" s="9" customFormat="1" x14ac:dyDescent="0.25">
      <c r="A4" s="3" t="s">
        <v>83</v>
      </c>
      <c r="B4" s="9" t="s">
        <v>248</v>
      </c>
      <c r="C4" s="9" t="s">
        <v>62</v>
      </c>
      <c r="D4" s="9" t="s">
        <v>238</v>
      </c>
      <c r="E4" s="15">
        <f>456/5280</f>
        <v>8.6363636363636365E-2</v>
      </c>
      <c r="F4" s="9" t="s">
        <v>244</v>
      </c>
      <c r="H4" s="11" t="s">
        <v>1606</v>
      </c>
    </row>
    <row r="5" spans="1:8" s="9" customFormat="1" x14ac:dyDescent="0.25">
      <c r="A5" s="3" t="s">
        <v>83</v>
      </c>
      <c r="B5" s="5" t="s">
        <v>85</v>
      </c>
      <c r="C5" s="9" t="s">
        <v>62</v>
      </c>
      <c r="D5" s="5" t="s">
        <v>86</v>
      </c>
      <c r="E5" s="15">
        <f>1244/5280</f>
        <v>0.2356060606060606</v>
      </c>
      <c r="F5" s="9" t="s">
        <v>158</v>
      </c>
      <c r="G5" s="9" t="s">
        <v>170</v>
      </c>
      <c r="H5" s="11" t="s">
        <v>1606</v>
      </c>
    </row>
    <row r="6" spans="1:8" s="9" customFormat="1" x14ac:dyDescent="0.25">
      <c r="A6" s="3" t="s">
        <v>83</v>
      </c>
      <c r="B6" s="5" t="s">
        <v>249</v>
      </c>
      <c r="C6" s="9" t="s">
        <v>62</v>
      </c>
      <c r="D6" s="5" t="s">
        <v>238</v>
      </c>
      <c r="E6" s="15">
        <f>318/5280</f>
        <v>6.0227272727272727E-2</v>
      </c>
      <c r="F6" s="9" t="s">
        <v>75</v>
      </c>
      <c r="H6" s="11" t="s">
        <v>1606</v>
      </c>
    </row>
    <row r="7" spans="1:8" s="9" customFormat="1" x14ac:dyDescent="0.25">
      <c r="A7" s="3" t="s">
        <v>83</v>
      </c>
      <c r="B7" s="5" t="s">
        <v>247</v>
      </c>
      <c r="C7" s="9" t="s">
        <v>62</v>
      </c>
      <c r="D7" s="5" t="s">
        <v>238</v>
      </c>
      <c r="E7" s="15">
        <f>(618+0)/5280</f>
        <v>0.11704545454545455</v>
      </c>
      <c r="F7" s="9" t="s">
        <v>244</v>
      </c>
      <c r="G7" s="9" t="s">
        <v>250</v>
      </c>
      <c r="H7" s="11" t="s">
        <v>1606</v>
      </c>
    </row>
    <row r="8" spans="1:8" s="9" customFormat="1" x14ac:dyDescent="0.25">
      <c r="A8" s="3" t="s">
        <v>83</v>
      </c>
      <c r="B8" s="9" t="s">
        <v>87</v>
      </c>
      <c r="C8" s="9" t="s">
        <v>62</v>
      </c>
      <c r="D8" s="9" t="s">
        <v>88</v>
      </c>
      <c r="E8" s="15">
        <f>(2066+141)/5280</f>
        <v>0.41799242424242422</v>
      </c>
      <c r="F8" s="9" t="s">
        <v>12</v>
      </c>
      <c r="H8" s="11" t="s">
        <v>1606</v>
      </c>
    </row>
    <row r="9" spans="1:8" s="9" customFormat="1" x14ac:dyDescent="0.25">
      <c r="A9" s="3" t="s">
        <v>83</v>
      </c>
      <c r="B9" s="9" t="s">
        <v>175</v>
      </c>
      <c r="C9" s="9" t="s">
        <v>62</v>
      </c>
      <c r="D9" s="9" t="s">
        <v>176</v>
      </c>
      <c r="E9" s="15">
        <f>979/5280</f>
        <v>0.18541666666666667</v>
      </c>
      <c r="F9" s="9" t="s">
        <v>96</v>
      </c>
      <c r="G9" s="9" t="s">
        <v>177</v>
      </c>
      <c r="H9" s="11" t="s">
        <v>1606</v>
      </c>
    </row>
    <row r="10" spans="1:8" s="9" customFormat="1" x14ac:dyDescent="0.25">
      <c r="A10" s="3" t="s">
        <v>83</v>
      </c>
      <c r="B10" s="9" t="s">
        <v>243</v>
      </c>
      <c r="C10" s="9" t="s">
        <v>62</v>
      </c>
      <c r="D10" s="9" t="s">
        <v>238</v>
      </c>
      <c r="E10" s="15">
        <f>275/5280</f>
        <v>5.2083333333333336E-2</v>
      </c>
      <c r="F10" s="9" t="s">
        <v>244</v>
      </c>
      <c r="H10" s="11" t="s">
        <v>1606</v>
      </c>
    </row>
    <row r="11" spans="1:8" s="9" customFormat="1" x14ac:dyDescent="0.25">
      <c r="A11" s="3" t="s">
        <v>83</v>
      </c>
      <c r="B11" s="9" t="s">
        <v>173</v>
      </c>
      <c r="C11" s="9" t="s">
        <v>62</v>
      </c>
      <c r="D11" s="9" t="s">
        <v>174</v>
      </c>
      <c r="E11" s="15">
        <v>0.17</v>
      </c>
      <c r="F11" s="9" t="s">
        <v>12</v>
      </c>
      <c r="G11" s="9" t="s">
        <v>172</v>
      </c>
      <c r="H11" s="11" t="s">
        <v>1606</v>
      </c>
    </row>
    <row r="12" spans="1:8" s="9" customFormat="1" x14ac:dyDescent="0.25">
      <c r="A12" s="3" t="s">
        <v>83</v>
      </c>
      <c r="B12" s="9" t="s">
        <v>178</v>
      </c>
      <c r="C12" s="9" t="s">
        <v>62</v>
      </c>
      <c r="D12" s="9" t="s">
        <v>176</v>
      </c>
      <c r="E12" s="15">
        <f>331/5280</f>
        <v>6.2689393939393934E-2</v>
      </c>
      <c r="F12" s="9" t="s">
        <v>96</v>
      </c>
      <c r="G12" s="9" t="s">
        <v>179</v>
      </c>
      <c r="H12" s="11" t="s">
        <v>1606</v>
      </c>
    </row>
    <row r="13" spans="1:8" s="9" customFormat="1" x14ac:dyDescent="0.25">
      <c r="A13" s="3" t="s">
        <v>83</v>
      </c>
      <c r="B13" s="9" t="s">
        <v>180</v>
      </c>
      <c r="C13" s="9" t="s">
        <v>62</v>
      </c>
      <c r="D13" s="9" t="s">
        <v>176</v>
      </c>
      <c r="E13" s="15">
        <f>636/5280</f>
        <v>0.12045454545454545</v>
      </c>
      <c r="F13" s="9" t="s">
        <v>96</v>
      </c>
      <c r="G13" s="9" t="s">
        <v>179</v>
      </c>
      <c r="H13" s="11" t="s">
        <v>1606</v>
      </c>
    </row>
    <row r="14" spans="1:8" s="9" customFormat="1" x14ac:dyDescent="0.25">
      <c r="A14" s="3" t="s">
        <v>83</v>
      </c>
      <c r="B14" s="9" t="s">
        <v>185</v>
      </c>
      <c r="C14" s="9" t="s">
        <v>62</v>
      </c>
      <c r="D14" s="9" t="s">
        <v>88</v>
      </c>
      <c r="E14" s="16">
        <v>0.18</v>
      </c>
      <c r="F14" s="5" t="s">
        <v>182</v>
      </c>
      <c r="H14" s="11" t="s">
        <v>1606</v>
      </c>
    </row>
    <row r="15" spans="1:8" s="9" customFormat="1" x14ac:dyDescent="0.25">
      <c r="A15" s="3" t="s">
        <v>83</v>
      </c>
      <c r="B15" s="11" t="s">
        <v>207</v>
      </c>
      <c r="C15" s="9" t="s">
        <v>62</v>
      </c>
      <c r="D15" s="9" t="s">
        <v>206</v>
      </c>
      <c r="E15" s="16">
        <v>0.27</v>
      </c>
      <c r="F15" s="5" t="s">
        <v>209</v>
      </c>
      <c r="G15" s="9" t="s">
        <v>208</v>
      </c>
      <c r="H15" s="11" t="s">
        <v>1607</v>
      </c>
    </row>
    <row r="16" spans="1:8" s="9" customFormat="1" x14ac:dyDescent="0.25">
      <c r="A16" s="3" t="s">
        <v>83</v>
      </c>
      <c r="B16" s="9" t="s">
        <v>89</v>
      </c>
      <c r="C16" s="9" t="s">
        <v>62</v>
      </c>
      <c r="D16" s="9" t="s">
        <v>88</v>
      </c>
      <c r="E16" s="16">
        <v>0.25</v>
      </c>
      <c r="F16" s="5" t="s">
        <v>125</v>
      </c>
      <c r="G16" s="9" t="s">
        <v>183</v>
      </c>
      <c r="H16" s="11" t="s">
        <v>1606</v>
      </c>
    </row>
    <row r="17" spans="1:8" s="9" customFormat="1" x14ac:dyDescent="0.25">
      <c r="A17" s="3" t="s">
        <v>83</v>
      </c>
      <c r="B17" s="14" t="s">
        <v>181</v>
      </c>
      <c r="C17" s="9" t="s">
        <v>62</v>
      </c>
      <c r="D17" s="9" t="s">
        <v>176</v>
      </c>
      <c r="E17" s="15">
        <f>180/5280</f>
        <v>3.4090909090909088E-2</v>
      </c>
      <c r="F17" s="9" t="s">
        <v>96</v>
      </c>
      <c r="G17" s="9" t="s">
        <v>184</v>
      </c>
      <c r="H17" s="11" t="s">
        <v>1606</v>
      </c>
    </row>
    <row r="18" spans="1:8" s="9" customFormat="1" x14ac:dyDescent="0.25">
      <c r="A18" s="3" t="s">
        <v>83</v>
      </c>
      <c r="B18" s="14" t="s">
        <v>245</v>
      </c>
      <c r="C18" s="9" t="s">
        <v>62</v>
      </c>
      <c r="D18" s="9" t="s">
        <v>238</v>
      </c>
      <c r="E18" s="15">
        <f>462/5280</f>
        <v>8.7499999999999994E-2</v>
      </c>
      <c r="F18" s="5" t="s">
        <v>244</v>
      </c>
      <c r="H18" s="11" t="s">
        <v>1606</v>
      </c>
    </row>
    <row r="19" spans="1:8" s="9" customFormat="1" x14ac:dyDescent="0.25">
      <c r="A19" s="3" t="s">
        <v>83</v>
      </c>
      <c r="B19" s="14" t="s">
        <v>189</v>
      </c>
      <c r="C19" s="9" t="s">
        <v>62</v>
      </c>
      <c r="D19" s="9" t="s">
        <v>91</v>
      </c>
      <c r="E19" s="16">
        <f>1922/5280</f>
        <v>0.36401515151515151</v>
      </c>
      <c r="F19" s="5" t="s">
        <v>12</v>
      </c>
      <c r="G19" s="9" t="s">
        <v>186</v>
      </c>
      <c r="H19" s="11" t="s">
        <v>1606</v>
      </c>
    </row>
    <row r="20" spans="1:8" s="9" customFormat="1" x14ac:dyDescent="0.25">
      <c r="A20" s="3" t="s">
        <v>83</v>
      </c>
      <c r="B20" s="14" t="s">
        <v>188</v>
      </c>
      <c r="C20" s="9" t="s">
        <v>62</v>
      </c>
      <c r="D20" s="9" t="s">
        <v>91</v>
      </c>
      <c r="E20" s="15">
        <f>1077/5280</f>
        <v>0.20397727272727273</v>
      </c>
      <c r="F20" s="5" t="s">
        <v>12</v>
      </c>
      <c r="G20" s="9" t="s">
        <v>187</v>
      </c>
      <c r="H20" s="11" t="s">
        <v>1606</v>
      </c>
    </row>
    <row r="21" spans="1:8" s="9" customFormat="1" x14ac:dyDescent="0.25">
      <c r="A21" s="3" t="s">
        <v>83</v>
      </c>
      <c r="B21" s="9" t="s">
        <v>90</v>
      </c>
      <c r="C21" s="9" t="s">
        <v>62</v>
      </c>
      <c r="D21" s="9" t="s">
        <v>92</v>
      </c>
      <c r="E21" s="15">
        <f>5726/5280</f>
        <v>1.084469696969697</v>
      </c>
      <c r="F21" s="5" t="s">
        <v>190</v>
      </c>
      <c r="G21" s="9" t="s">
        <v>246</v>
      </c>
      <c r="H21" s="11" t="s">
        <v>1608</v>
      </c>
    </row>
    <row r="22" spans="1:8" s="9" customFormat="1" x14ac:dyDescent="0.25">
      <c r="A22" s="3" t="s">
        <v>83</v>
      </c>
      <c r="B22" s="9" t="s">
        <v>194</v>
      </c>
      <c r="C22" s="9" t="s">
        <v>62</v>
      </c>
      <c r="D22" s="9" t="s">
        <v>193</v>
      </c>
      <c r="E22" s="15">
        <f>844/5280</f>
        <v>0.15984848484848485</v>
      </c>
      <c r="F22" s="5" t="s">
        <v>191</v>
      </c>
      <c r="G22" s="9" t="s">
        <v>192</v>
      </c>
      <c r="H22" s="11" t="s">
        <v>1606</v>
      </c>
    </row>
    <row r="23" spans="1:8" s="9" customFormat="1" x14ac:dyDescent="0.25">
      <c r="A23" s="3" t="s">
        <v>83</v>
      </c>
      <c r="B23" s="14" t="s">
        <v>239</v>
      </c>
      <c r="C23" s="9" t="s">
        <v>62</v>
      </c>
      <c r="D23" s="9" t="s">
        <v>238</v>
      </c>
      <c r="E23" s="15">
        <f>620/5280</f>
        <v>0.11742424242424243</v>
      </c>
      <c r="F23" s="5" t="s">
        <v>75</v>
      </c>
      <c r="H23" s="11" t="s">
        <v>1606</v>
      </c>
    </row>
    <row r="24" spans="1:8" s="9" customFormat="1" x14ac:dyDescent="0.25">
      <c r="A24" s="3" t="s">
        <v>83</v>
      </c>
      <c r="B24" s="14" t="s">
        <v>237</v>
      </c>
      <c r="C24" s="9" t="s">
        <v>62</v>
      </c>
      <c r="D24" s="9" t="s">
        <v>238</v>
      </c>
      <c r="E24" s="15">
        <f>864/5280</f>
        <v>0.16363636363636364</v>
      </c>
      <c r="F24" s="5" t="s">
        <v>75</v>
      </c>
      <c r="H24" s="11" t="s">
        <v>1606</v>
      </c>
    </row>
    <row r="25" spans="1:8" s="9" customFormat="1" x14ac:dyDescent="0.25">
      <c r="A25" s="3" t="s">
        <v>83</v>
      </c>
      <c r="B25" s="14" t="s">
        <v>240</v>
      </c>
      <c r="C25" s="9" t="s">
        <v>62</v>
      </c>
      <c r="D25" s="9" t="s">
        <v>238</v>
      </c>
      <c r="E25" s="15">
        <f>(622+650)/5280</f>
        <v>0.24090909090909091</v>
      </c>
      <c r="F25" s="5" t="s">
        <v>75</v>
      </c>
      <c r="H25" s="11" t="s">
        <v>1606</v>
      </c>
    </row>
    <row r="26" spans="1:8" s="9" customFormat="1" x14ac:dyDescent="0.25">
      <c r="A26" s="3" t="s">
        <v>83</v>
      </c>
      <c r="B26" s="9" t="s">
        <v>195</v>
      </c>
      <c r="C26" s="9" t="s">
        <v>62</v>
      </c>
      <c r="D26" s="9" t="s">
        <v>193</v>
      </c>
      <c r="E26" s="15">
        <f>292/5280</f>
        <v>5.5303030303030305E-2</v>
      </c>
      <c r="F26" s="5" t="s">
        <v>96</v>
      </c>
      <c r="G26" s="9" t="s">
        <v>196</v>
      </c>
      <c r="H26" s="11" t="s">
        <v>1606</v>
      </c>
    </row>
    <row r="27" spans="1:8" s="9" customFormat="1" x14ac:dyDescent="0.25">
      <c r="A27" s="3" t="s">
        <v>83</v>
      </c>
      <c r="B27" s="14" t="s">
        <v>241</v>
      </c>
      <c r="C27" s="9" t="s">
        <v>62</v>
      </c>
      <c r="D27" s="9" t="s">
        <v>238</v>
      </c>
      <c r="E27" s="15">
        <f>566/5280</f>
        <v>0.10719696969696969</v>
      </c>
      <c r="F27" s="5" t="s">
        <v>75</v>
      </c>
      <c r="G27" s="9" t="s">
        <v>242</v>
      </c>
      <c r="H27" s="11" t="s">
        <v>1606</v>
      </c>
    </row>
    <row r="28" spans="1:8" s="9" customFormat="1" x14ac:dyDescent="0.25">
      <c r="A28" s="3" t="s">
        <v>83</v>
      </c>
      <c r="B28" s="9" t="s">
        <v>93</v>
      </c>
      <c r="C28" s="9" t="s">
        <v>62</v>
      </c>
      <c r="D28" s="9" t="s">
        <v>92</v>
      </c>
      <c r="E28" s="15">
        <f>1807/5280</f>
        <v>0.34223484848484848</v>
      </c>
      <c r="F28" s="5" t="s">
        <v>75</v>
      </c>
      <c r="G28" s="9" t="s">
        <v>197</v>
      </c>
      <c r="H28" s="11" t="s">
        <v>1606</v>
      </c>
    </row>
    <row r="29" spans="1:8" s="9" customFormat="1" x14ac:dyDescent="0.25">
      <c r="A29" s="3" t="s">
        <v>83</v>
      </c>
      <c r="B29" s="9" t="s">
        <v>94</v>
      </c>
      <c r="C29" s="9" t="s">
        <v>62</v>
      </c>
      <c r="D29" s="9" t="s">
        <v>92</v>
      </c>
      <c r="E29" s="16">
        <f>7892/5280</f>
        <v>1.4946969696969696</v>
      </c>
      <c r="F29" s="5" t="s">
        <v>47</v>
      </c>
      <c r="G29" s="9" t="s">
        <v>95</v>
      </c>
      <c r="H29" s="11" t="s">
        <v>1606</v>
      </c>
    </row>
    <row r="30" spans="1:8" s="9" customFormat="1" x14ac:dyDescent="0.25">
      <c r="A30" s="3" t="s">
        <v>83</v>
      </c>
      <c r="B30" s="9" t="s">
        <v>198</v>
      </c>
      <c r="C30" s="9" t="s">
        <v>62</v>
      </c>
      <c r="D30" s="9" t="s">
        <v>193</v>
      </c>
      <c r="E30" s="16">
        <f>250/5280</f>
        <v>4.7348484848484848E-2</v>
      </c>
      <c r="F30" s="5" t="s">
        <v>96</v>
      </c>
      <c r="G30" s="9" t="s">
        <v>199</v>
      </c>
      <c r="H30" s="11" t="s">
        <v>1606</v>
      </c>
    </row>
    <row r="31" spans="1:8" s="5" customFormat="1" x14ac:dyDescent="0.25">
      <c r="A31" s="17" t="s">
        <v>83</v>
      </c>
      <c r="B31" s="5" t="s">
        <v>200</v>
      </c>
      <c r="C31" s="5" t="s">
        <v>62</v>
      </c>
      <c r="D31" s="5" t="s">
        <v>201</v>
      </c>
      <c r="E31" s="16">
        <f>4051/5280</f>
        <v>0.76723484848484846</v>
      </c>
      <c r="F31" s="5" t="s">
        <v>202</v>
      </c>
      <c r="G31" s="5" t="s">
        <v>203</v>
      </c>
      <c r="H31" s="11" t="s">
        <v>1606</v>
      </c>
    </row>
    <row r="32" spans="1:8" s="9" customFormat="1" x14ac:dyDescent="0.25">
      <c r="A32" s="3" t="s">
        <v>83</v>
      </c>
      <c r="B32" s="14" t="s">
        <v>205</v>
      </c>
      <c r="C32" s="9" t="s">
        <v>62</v>
      </c>
      <c r="D32" s="9" t="s">
        <v>88</v>
      </c>
      <c r="E32" s="15">
        <f>1358/5280</f>
        <v>0.2571969696969697</v>
      </c>
      <c r="F32" s="5" t="s">
        <v>204</v>
      </c>
      <c r="H32" s="11" t="s">
        <v>1606</v>
      </c>
    </row>
    <row r="33" spans="1:8" s="9" customFormat="1" x14ac:dyDescent="0.25">
      <c r="A33" s="3" t="s">
        <v>83</v>
      </c>
      <c r="B33" s="14" t="s">
        <v>210</v>
      </c>
      <c r="C33" s="9" t="s">
        <v>62</v>
      </c>
      <c r="D33" s="5" t="s">
        <v>201</v>
      </c>
      <c r="E33" s="15">
        <f>(4566-126)/5280</f>
        <v>0.84090909090909094</v>
      </c>
      <c r="F33" s="9" t="s">
        <v>96</v>
      </c>
      <c r="G33" s="11" t="s">
        <v>97</v>
      </c>
      <c r="H33" s="11" t="s">
        <v>1606</v>
      </c>
    </row>
    <row r="34" spans="1:8" s="9" customFormat="1" x14ac:dyDescent="0.25">
      <c r="A34" s="3" t="s">
        <v>83</v>
      </c>
      <c r="B34" s="14" t="s">
        <v>212</v>
      </c>
      <c r="C34" s="9" t="s">
        <v>62</v>
      </c>
      <c r="D34" s="5" t="s">
        <v>211</v>
      </c>
      <c r="E34" s="15">
        <v>0.86</v>
      </c>
      <c r="F34" s="9" t="s">
        <v>96</v>
      </c>
      <c r="G34" s="11" t="s">
        <v>213</v>
      </c>
      <c r="H34" s="11" t="s">
        <v>1606</v>
      </c>
    </row>
    <row r="35" spans="1:8" s="9" customFormat="1" x14ac:dyDescent="0.25">
      <c r="A35" s="3" t="s">
        <v>83</v>
      </c>
      <c r="B35" s="14" t="s">
        <v>214</v>
      </c>
      <c r="C35" s="9" t="s">
        <v>62</v>
      </c>
      <c r="D35" s="5" t="s">
        <v>88</v>
      </c>
      <c r="E35" s="15">
        <f>5313/5280</f>
        <v>1.0062500000000001</v>
      </c>
      <c r="F35" s="9" t="s">
        <v>125</v>
      </c>
      <c r="G35" s="11" t="s">
        <v>215</v>
      </c>
      <c r="H35" s="11" t="s">
        <v>1606</v>
      </c>
    </row>
    <row r="36" spans="1:8" s="5" customFormat="1" x14ac:dyDescent="0.25">
      <c r="A36" s="17" t="s">
        <v>83</v>
      </c>
      <c r="B36" s="14" t="s">
        <v>216</v>
      </c>
      <c r="C36" s="5" t="s">
        <v>62</v>
      </c>
      <c r="D36" s="5" t="s">
        <v>217</v>
      </c>
      <c r="E36" s="16">
        <f>6755/5280</f>
        <v>1.2793560606060606</v>
      </c>
      <c r="F36" s="5" t="s">
        <v>125</v>
      </c>
      <c r="G36" s="5" t="s">
        <v>218</v>
      </c>
      <c r="H36" s="11" t="s">
        <v>1606</v>
      </c>
    </row>
    <row r="37" spans="1:8" s="9" customFormat="1" x14ac:dyDescent="0.25">
      <c r="A37" s="3" t="s">
        <v>83</v>
      </c>
      <c r="B37" s="14" t="s">
        <v>61</v>
      </c>
      <c r="C37" s="9" t="s">
        <v>62</v>
      </c>
      <c r="D37" s="9" t="s">
        <v>63</v>
      </c>
      <c r="E37" s="15">
        <f>(844+1582)/5280</f>
        <v>0.45946969696969697</v>
      </c>
      <c r="F37" s="9" t="s">
        <v>65</v>
      </c>
      <c r="G37" s="9" t="s">
        <v>66</v>
      </c>
      <c r="H37" s="9" t="s">
        <v>64</v>
      </c>
    </row>
    <row r="38" spans="1:8" s="9" customFormat="1" x14ac:dyDescent="0.25">
      <c r="A38" s="3" t="s">
        <v>83</v>
      </c>
      <c r="B38" s="14" t="s">
        <v>219</v>
      </c>
      <c r="C38" s="9" t="s">
        <v>62</v>
      </c>
      <c r="D38" s="5" t="s">
        <v>201</v>
      </c>
      <c r="E38" s="15">
        <f>(1479+5598)/5280</f>
        <v>1.3403409090909091</v>
      </c>
      <c r="F38" s="9" t="s">
        <v>158</v>
      </c>
      <c r="G38" s="9" t="s">
        <v>1524</v>
      </c>
      <c r="H38" s="11" t="s">
        <v>1606</v>
      </c>
    </row>
    <row r="39" spans="1:8" s="9" customFormat="1" x14ac:dyDescent="0.25">
      <c r="A39" s="3" t="s">
        <v>83</v>
      </c>
      <c r="B39" s="9" t="s">
        <v>98</v>
      </c>
      <c r="C39" s="9" t="s">
        <v>62</v>
      </c>
      <c r="D39" s="9" t="s">
        <v>99</v>
      </c>
      <c r="E39" s="15">
        <f>2502/5280</f>
        <v>0.47386363636363638</v>
      </c>
      <c r="F39" s="9" t="s">
        <v>75</v>
      </c>
      <c r="H39" s="11" t="s">
        <v>1606</v>
      </c>
    </row>
    <row r="40" spans="1:8" s="9" customFormat="1" x14ac:dyDescent="0.25">
      <c r="A40" s="3" t="s">
        <v>83</v>
      </c>
      <c r="B40" s="14" t="s">
        <v>220</v>
      </c>
      <c r="C40" s="9" t="s">
        <v>62</v>
      </c>
      <c r="D40" s="5" t="s">
        <v>221</v>
      </c>
      <c r="E40" s="15">
        <v>0.1</v>
      </c>
      <c r="F40" s="9" t="s">
        <v>96</v>
      </c>
      <c r="G40" s="9" t="s">
        <v>222</v>
      </c>
      <c r="H40" s="11" t="s">
        <v>1606</v>
      </c>
    </row>
    <row r="41" spans="1:8" s="9" customFormat="1" x14ac:dyDescent="0.25">
      <c r="A41" s="3" t="s">
        <v>83</v>
      </c>
      <c r="B41" s="14" t="s">
        <v>115</v>
      </c>
      <c r="C41" s="9" t="s">
        <v>62</v>
      </c>
      <c r="D41" s="5" t="s">
        <v>221</v>
      </c>
      <c r="E41" s="15">
        <f>(4139-715)/5280</f>
        <v>0.64848484848484844</v>
      </c>
      <c r="F41" s="5" t="s">
        <v>96</v>
      </c>
      <c r="G41" s="9" t="s">
        <v>116</v>
      </c>
      <c r="H41" s="11" t="s">
        <v>1606</v>
      </c>
    </row>
    <row r="42" spans="1:8" s="9" customFormat="1" x14ac:dyDescent="0.25">
      <c r="A42" s="3" t="s">
        <v>83</v>
      </c>
      <c r="B42" s="14" t="s">
        <v>117</v>
      </c>
      <c r="C42" s="9" t="s">
        <v>62</v>
      </c>
      <c r="D42" s="9" t="s">
        <v>118</v>
      </c>
      <c r="E42" s="15">
        <f>2054/5280</f>
        <v>0.38901515151515154</v>
      </c>
      <c r="F42" s="5" t="s">
        <v>75</v>
      </c>
      <c r="G42" s="9" t="s">
        <v>223</v>
      </c>
      <c r="H42" s="11" t="s">
        <v>1606</v>
      </c>
    </row>
    <row r="43" spans="1:8" s="9" customFormat="1" x14ac:dyDescent="0.25">
      <c r="A43" s="3" t="s">
        <v>83</v>
      </c>
      <c r="B43" s="9" t="s">
        <v>100</v>
      </c>
      <c r="C43" s="9" t="s">
        <v>62</v>
      </c>
      <c r="D43" s="9" t="s">
        <v>99</v>
      </c>
      <c r="E43" s="15">
        <f>3512/5280</f>
        <v>0.66515151515151516</v>
      </c>
      <c r="F43" s="9" t="s">
        <v>96</v>
      </c>
      <c r="H43" s="11" t="s">
        <v>1606</v>
      </c>
    </row>
    <row r="44" spans="1:8" s="9" customFormat="1" x14ac:dyDescent="0.25">
      <c r="A44" s="3" t="s">
        <v>83</v>
      </c>
      <c r="B44" s="9" t="s">
        <v>101</v>
      </c>
      <c r="C44" s="9" t="s">
        <v>62</v>
      </c>
      <c r="D44" s="9" t="s">
        <v>92</v>
      </c>
      <c r="E44" s="15">
        <f>(10191+3302)/5280</f>
        <v>2.5554924242424244</v>
      </c>
      <c r="F44" s="9" t="s">
        <v>47</v>
      </c>
      <c r="G44" s="9" t="s">
        <v>225</v>
      </c>
      <c r="H44" s="11" t="s">
        <v>1606</v>
      </c>
    </row>
    <row r="45" spans="1:8" s="9" customFormat="1" x14ac:dyDescent="0.25">
      <c r="A45" s="3" t="s">
        <v>83</v>
      </c>
      <c r="B45" s="5" t="s">
        <v>224</v>
      </c>
      <c r="C45" s="9" t="s">
        <v>62</v>
      </c>
      <c r="D45" s="9" t="s">
        <v>221</v>
      </c>
      <c r="E45" s="15">
        <f>1078/5280</f>
        <v>0.20416666666666666</v>
      </c>
      <c r="F45" s="9" t="s">
        <v>96</v>
      </c>
      <c r="G45" s="9" t="s">
        <v>226</v>
      </c>
      <c r="H45" s="11" t="s">
        <v>1606</v>
      </c>
    </row>
    <row r="46" spans="1:8" s="5" customFormat="1" x14ac:dyDescent="0.25">
      <c r="A46" s="17" t="s">
        <v>83</v>
      </c>
      <c r="B46" s="5" t="s">
        <v>120</v>
      </c>
      <c r="C46" s="5" t="s">
        <v>62</v>
      </c>
      <c r="D46" s="5" t="s">
        <v>103</v>
      </c>
      <c r="E46" s="16">
        <f>1670/5280</f>
        <v>0.31628787878787878</v>
      </c>
      <c r="F46" s="5" t="s">
        <v>96</v>
      </c>
      <c r="G46" s="5" t="s">
        <v>227</v>
      </c>
      <c r="H46" s="11" t="s">
        <v>1606</v>
      </c>
    </row>
    <row r="47" spans="1:8" s="9" customFormat="1" x14ac:dyDescent="0.25">
      <c r="A47" s="3" t="s">
        <v>83</v>
      </c>
      <c r="B47" s="5" t="s">
        <v>121</v>
      </c>
      <c r="C47" s="9" t="s">
        <v>62</v>
      </c>
      <c r="D47" s="9" t="s">
        <v>103</v>
      </c>
      <c r="E47" s="16">
        <f>856/5280</f>
        <v>0.16212121212121211</v>
      </c>
      <c r="F47" s="5" t="s">
        <v>75</v>
      </c>
      <c r="H47" s="11" t="s">
        <v>1606</v>
      </c>
    </row>
    <row r="48" spans="1:8" s="9" customFormat="1" x14ac:dyDescent="0.25">
      <c r="A48" s="3" t="s">
        <v>83</v>
      </c>
      <c r="B48" s="9" t="s">
        <v>102</v>
      </c>
      <c r="C48" s="9" t="s">
        <v>62</v>
      </c>
      <c r="D48" s="9" t="s">
        <v>103</v>
      </c>
      <c r="E48" s="15">
        <f>1162/5280</f>
        <v>0.22007575757575756</v>
      </c>
      <c r="F48" s="9" t="s">
        <v>96</v>
      </c>
      <c r="G48" s="9" t="s">
        <v>123</v>
      </c>
      <c r="H48" s="11" t="s">
        <v>1606</v>
      </c>
    </row>
    <row r="49" spans="1:8" s="9" customFormat="1" x14ac:dyDescent="0.25">
      <c r="A49" s="3" t="s">
        <v>83</v>
      </c>
      <c r="B49" s="9" t="s">
        <v>122</v>
      </c>
      <c r="C49" s="9" t="s">
        <v>62</v>
      </c>
      <c r="D49" s="9" t="s">
        <v>103</v>
      </c>
      <c r="E49" s="15">
        <f>381/5280</f>
        <v>7.2159090909090909E-2</v>
      </c>
      <c r="F49" s="9" t="s">
        <v>125</v>
      </c>
      <c r="G49" s="9" t="s">
        <v>124</v>
      </c>
      <c r="H49" s="11" t="s">
        <v>1606</v>
      </c>
    </row>
    <row r="50" spans="1:8" s="9" customFormat="1" x14ac:dyDescent="0.25">
      <c r="A50" s="3" t="s">
        <v>83</v>
      </c>
      <c r="B50" s="9" t="s">
        <v>126</v>
      </c>
      <c r="C50" s="9" t="s">
        <v>62</v>
      </c>
      <c r="D50" s="9" t="s">
        <v>103</v>
      </c>
      <c r="E50" s="15">
        <f>676/5280</f>
        <v>0.12803030303030302</v>
      </c>
      <c r="F50" s="9" t="s">
        <v>96</v>
      </c>
      <c r="G50" s="9" t="s">
        <v>141</v>
      </c>
      <c r="H50" s="11" t="s">
        <v>1606</v>
      </c>
    </row>
    <row r="51" spans="1:8" s="9" customFormat="1" x14ac:dyDescent="0.25">
      <c r="A51" s="3" t="s">
        <v>83</v>
      </c>
      <c r="B51" s="9" t="s">
        <v>131</v>
      </c>
      <c r="C51" s="9" t="s">
        <v>62</v>
      </c>
      <c r="D51" s="9" t="s">
        <v>129</v>
      </c>
      <c r="E51" s="15">
        <f>3540/5280</f>
        <v>0.67045454545454541</v>
      </c>
      <c r="F51" s="9" t="s">
        <v>130</v>
      </c>
      <c r="G51" s="9" t="s">
        <v>228</v>
      </c>
      <c r="H51" s="11" t="s">
        <v>1606</v>
      </c>
    </row>
    <row r="52" spans="1:8" s="9" customFormat="1" x14ac:dyDescent="0.25">
      <c r="A52" s="3" t="s">
        <v>83</v>
      </c>
      <c r="B52" s="9" t="s">
        <v>229</v>
      </c>
      <c r="C52" s="9" t="s">
        <v>62</v>
      </c>
      <c r="D52" s="9" t="s">
        <v>103</v>
      </c>
      <c r="E52" s="15">
        <f>5963/5280</f>
        <v>1.1293560606060606</v>
      </c>
      <c r="F52" s="9" t="s">
        <v>158</v>
      </c>
      <c r="G52" s="9" t="s">
        <v>132</v>
      </c>
      <c r="H52" s="11" t="s">
        <v>1606</v>
      </c>
    </row>
    <row r="53" spans="1:8" s="9" customFormat="1" x14ac:dyDescent="0.25">
      <c r="A53" s="3" t="s">
        <v>83</v>
      </c>
      <c r="B53" s="9" t="s">
        <v>133</v>
      </c>
      <c r="C53" s="9" t="s">
        <v>62</v>
      </c>
      <c r="D53" s="9" t="s">
        <v>103</v>
      </c>
      <c r="E53" s="15">
        <f>358/5280</f>
        <v>6.7803030303030309E-2</v>
      </c>
      <c r="F53" s="9" t="s">
        <v>12</v>
      </c>
      <c r="G53" s="9" t="s">
        <v>134</v>
      </c>
      <c r="H53" s="11" t="s">
        <v>1606</v>
      </c>
    </row>
    <row r="54" spans="1:8" s="9" customFormat="1" x14ac:dyDescent="0.25">
      <c r="A54" s="3" t="s">
        <v>83</v>
      </c>
      <c r="B54" s="5" t="s">
        <v>1525</v>
      </c>
      <c r="C54" s="9" t="s">
        <v>62</v>
      </c>
      <c r="D54" s="5" t="s">
        <v>230</v>
      </c>
      <c r="E54" s="16">
        <f>(6951-554)/5280-0.5</f>
        <v>0.71155303030303041</v>
      </c>
      <c r="F54" s="9" t="s">
        <v>125</v>
      </c>
      <c r="H54" s="11" t="s">
        <v>1606</v>
      </c>
    </row>
    <row r="55" spans="1:8" s="9" customFormat="1" x14ac:dyDescent="0.25">
      <c r="A55" s="3" t="s">
        <v>83</v>
      </c>
      <c r="B55" s="9" t="s">
        <v>128</v>
      </c>
      <c r="C55" s="9" t="s">
        <v>62</v>
      </c>
      <c r="D55" s="9" t="s">
        <v>68</v>
      </c>
      <c r="E55" s="15">
        <v>0.5</v>
      </c>
      <c r="F55" s="9" t="s">
        <v>74</v>
      </c>
      <c r="H55" s="9" t="s">
        <v>136</v>
      </c>
    </row>
    <row r="56" spans="1:8" s="9" customFormat="1" x14ac:dyDescent="0.25">
      <c r="A56" s="3" t="s">
        <v>83</v>
      </c>
      <c r="B56" s="9" t="s">
        <v>104</v>
      </c>
      <c r="C56" s="9" t="s">
        <v>62</v>
      </c>
      <c r="D56" s="9" t="s">
        <v>92</v>
      </c>
      <c r="E56" s="15">
        <f>15455/5280</f>
        <v>2.9270833333333335</v>
      </c>
      <c r="F56" s="9" t="s">
        <v>137</v>
      </c>
      <c r="G56" s="9" t="s">
        <v>138</v>
      </c>
      <c r="H56" s="11" t="s">
        <v>1606</v>
      </c>
    </row>
    <row r="57" spans="1:8" s="9" customFormat="1" x14ac:dyDescent="0.25">
      <c r="A57" s="3" t="s">
        <v>83</v>
      </c>
      <c r="B57" s="9" t="s">
        <v>127</v>
      </c>
      <c r="C57" s="9" t="s">
        <v>62</v>
      </c>
      <c r="D57" s="9" t="s">
        <v>103</v>
      </c>
      <c r="E57" s="15">
        <f>1563/5280</f>
        <v>0.29602272727272727</v>
      </c>
      <c r="F57" s="9" t="s">
        <v>96</v>
      </c>
      <c r="G57" s="9" t="s">
        <v>140</v>
      </c>
      <c r="H57" s="11" t="s">
        <v>1606</v>
      </c>
    </row>
    <row r="58" spans="1:8" s="9" customFormat="1" x14ac:dyDescent="0.25">
      <c r="A58" s="3" t="s">
        <v>83</v>
      </c>
      <c r="B58" s="9" t="s">
        <v>105</v>
      </c>
      <c r="C58" s="9" t="s">
        <v>62</v>
      </c>
      <c r="D58" s="9" t="s">
        <v>103</v>
      </c>
      <c r="E58" s="15">
        <f>(994+644)/5280</f>
        <v>0.31022727272727274</v>
      </c>
      <c r="F58" s="9" t="s">
        <v>202</v>
      </c>
      <c r="G58" s="9" t="s">
        <v>139</v>
      </c>
      <c r="H58" s="11" t="s">
        <v>1606</v>
      </c>
    </row>
    <row r="59" spans="1:8" s="9" customFormat="1" x14ac:dyDescent="0.25">
      <c r="A59" s="3" t="s">
        <v>83</v>
      </c>
      <c r="B59" s="9" t="s">
        <v>106</v>
      </c>
      <c r="C59" s="9" t="s">
        <v>119</v>
      </c>
      <c r="D59" s="9" t="s">
        <v>107</v>
      </c>
      <c r="E59" s="15">
        <f>1927/5280</f>
        <v>0.36496212121212124</v>
      </c>
      <c r="F59" s="9" t="s">
        <v>75</v>
      </c>
      <c r="H59" s="11" t="s">
        <v>1606</v>
      </c>
    </row>
    <row r="60" spans="1:8" s="9" customFormat="1" x14ac:dyDescent="0.25">
      <c r="A60" s="3" t="s">
        <v>83</v>
      </c>
      <c r="B60" s="9" t="s">
        <v>108</v>
      </c>
      <c r="C60" s="9" t="s">
        <v>119</v>
      </c>
      <c r="D60" s="9" t="s">
        <v>111</v>
      </c>
      <c r="E60" s="15">
        <f>(1106-250)/5280</f>
        <v>0.16212121212121211</v>
      </c>
      <c r="F60" s="9" t="s">
        <v>231</v>
      </c>
      <c r="G60" s="9" t="s">
        <v>135</v>
      </c>
      <c r="H60" s="11" t="s">
        <v>1606</v>
      </c>
    </row>
    <row r="61" spans="1:8" s="9" customFormat="1" x14ac:dyDescent="0.25">
      <c r="A61" s="3" t="s">
        <v>83</v>
      </c>
      <c r="B61" s="9" t="s">
        <v>142</v>
      </c>
      <c r="C61" s="9" t="s">
        <v>119</v>
      </c>
      <c r="D61" s="9" t="s">
        <v>233</v>
      </c>
      <c r="E61" s="15">
        <f>415/5280</f>
        <v>7.8598484848484848E-2</v>
      </c>
      <c r="F61" s="9" t="s">
        <v>96</v>
      </c>
      <c r="G61" s="9" t="s">
        <v>143</v>
      </c>
      <c r="H61" s="11" t="s">
        <v>1606</v>
      </c>
    </row>
    <row r="62" spans="1:8" s="9" customFormat="1" x14ac:dyDescent="0.25">
      <c r="A62" s="3" t="s">
        <v>83</v>
      </c>
      <c r="B62" s="5" t="s">
        <v>232</v>
      </c>
      <c r="C62" s="9" t="s">
        <v>119</v>
      </c>
      <c r="D62" s="5" t="s">
        <v>145</v>
      </c>
      <c r="E62" s="15">
        <f>1085/5280</f>
        <v>0.20549242424242425</v>
      </c>
      <c r="F62" s="9" t="s">
        <v>96</v>
      </c>
      <c r="G62" s="9" t="s">
        <v>144</v>
      </c>
      <c r="H62" s="11" t="s">
        <v>1606</v>
      </c>
    </row>
    <row r="63" spans="1:8" s="9" customFormat="1" x14ac:dyDescent="0.25">
      <c r="A63" s="3" t="s">
        <v>83</v>
      </c>
      <c r="B63" s="5" t="s">
        <v>146</v>
      </c>
      <c r="C63" s="9" t="s">
        <v>119</v>
      </c>
      <c r="D63" s="5" t="s">
        <v>147</v>
      </c>
      <c r="E63" s="15">
        <f>178/5280</f>
        <v>3.3712121212121214E-2</v>
      </c>
      <c r="F63" s="9" t="s">
        <v>125</v>
      </c>
      <c r="H63" s="11" t="s">
        <v>1606</v>
      </c>
    </row>
    <row r="64" spans="1:8" s="9" customFormat="1" x14ac:dyDescent="0.25">
      <c r="A64" s="3" t="s">
        <v>83</v>
      </c>
      <c r="B64" s="5" t="s">
        <v>148</v>
      </c>
      <c r="C64" s="9" t="s">
        <v>119</v>
      </c>
      <c r="D64" s="5" t="s">
        <v>1534</v>
      </c>
      <c r="E64" s="15">
        <f>2506/5280</f>
        <v>0.47462121212121211</v>
      </c>
      <c r="F64" s="9" t="s">
        <v>1533</v>
      </c>
      <c r="G64" s="9" t="s">
        <v>1532</v>
      </c>
      <c r="H64" s="11" t="s">
        <v>1606</v>
      </c>
    </row>
    <row r="65" spans="1:8" s="9" customFormat="1" x14ac:dyDescent="0.25">
      <c r="A65" s="3" t="s">
        <v>83</v>
      </c>
      <c r="B65" s="5" t="s">
        <v>235</v>
      </c>
      <c r="C65" s="9" t="s">
        <v>119</v>
      </c>
      <c r="D65" s="5" t="s">
        <v>234</v>
      </c>
      <c r="E65" s="15">
        <f>1108/5280</f>
        <v>0.20984848484848484</v>
      </c>
      <c r="F65" s="9" t="s">
        <v>96</v>
      </c>
      <c r="G65" s="9" t="s">
        <v>149</v>
      </c>
      <c r="H65" s="11" t="s">
        <v>1606</v>
      </c>
    </row>
    <row r="66" spans="1:8" s="9" customFormat="1" x14ac:dyDescent="0.25">
      <c r="A66" s="3" t="s">
        <v>83</v>
      </c>
      <c r="B66" s="9" t="s">
        <v>109</v>
      </c>
      <c r="C66" s="9" t="s">
        <v>119</v>
      </c>
      <c r="D66" s="9" t="s">
        <v>110</v>
      </c>
      <c r="E66" s="15">
        <f>(609+1297)/5280</f>
        <v>0.36098484848484846</v>
      </c>
      <c r="F66" s="9" t="s">
        <v>75</v>
      </c>
      <c r="G66" s="9" t="s">
        <v>151</v>
      </c>
      <c r="H66" s="11" t="s">
        <v>1606</v>
      </c>
    </row>
    <row r="67" spans="1:8" s="9" customFormat="1" x14ac:dyDescent="0.25">
      <c r="A67" s="3" t="s">
        <v>83</v>
      </c>
      <c r="B67" s="9" t="s">
        <v>236</v>
      </c>
      <c r="C67" s="9" t="s">
        <v>119</v>
      </c>
      <c r="D67" s="5" t="s">
        <v>234</v>
      </c>
      <c r="E67" s="15">
        <f>(670+470)/5280</f>
        <v>0.21590909090909091</v>
      </c>
      <c r="F67" s="9" t="s">
        <v>158</v>
      </c>
      <c r="G67" s="9" t="s">
        <v>150</v>
      </c>
      <c r="H67" s="11" t="s">
        <v>1606</v>
      </c>
    </row>
    <row r="68" spans="1:8" s="9" customFormat="1" x14ac:dyDescent="0.25">
      <c r="A68" s="3" t="s">
        <v>83</v>
      </c>
      <c r="B68" s="9" t="s">
        <v>112</v>
      </c>
      <c r="C68" s="9" t="s">
        <v>119</v>
      </c>
      <c r="D68" s="9" t="s">
        <v>110</v>
      </c>
      <c r="E68" s="15">
        <f>1990/5280</f>
        <v>0.37689393939393939</v>
      </c>
      <c r="F68" s="9" t="s">
        <v>75</v>
      </c>
      <c r="G68" s="9" t="s">
        <v>152</v>
      </c>
      <c r="H68" s="11" t="s">
        <v>1606</v>
      </c>
    </row>
    <row r="69" spans="1:8" s="9" customFormat="1" x14ac:dyDescent="0.25">
      <c r="A69" s="3" t="s">
        <v>83</v>
      </c>
      <c r="B69" s="9" t="s">
        <v>154</v>
      </c>
      <c r="C69" s="9" t="s">
        <v>119</v>
      </c>
      <c r="D69" s="9" t="s">
        <v>155</v>
      </c>
      <c r="E69" s="15">
        <f>1000/5280</f>
        <v>0.18939393939393939</v>
      </c>
      <c r="F69" s="9" t="s">
        <v>96</v>
      </c>
      <c r="G69" s="9" t="s">
        <v>157</v>
      </c>
      <c r="H69" s="11" t="s">
        <v>1606</v>
      </c>
    </row>
    <row r="70" spans="1:8" s="9" customFormat="1" x14ac:dyDescent="0.25">
      <c r="A70" s="3" t="s">
        <v>83</v>
      </c>
      <c r="B70" s="9" t="s">
        <v>156</v>
      </c>
      <c r="C70" s="9" t="s">
        <v>119</v>
      </c>
      <c r="D70" s="9" t="s">
        <v>145</v>
      </c>
      <c r="E70" s="15">
        <f>1041/5280</f>
        <v>0.19715909090909092</v>
      </c>
      <c r="F70" s="9" t="s">
        <v>96</v>
      </c>
      <c r="G70" s="9" t="s">
        <v>153</v>
      </c>
      <c r="H70" s="11" t="s">
        <v>1606</v>
      </c>
    </row>
    <row r="71" spans="1:8" s="9" customFormat="1" x14ac:dyDescent="0.25">
      <c r="A71" s="3" t="s">
        <v>83</v>
      </c>
      <c r="B71" s="9" t="s">
        <v>113</v>
      </c>
      <c r="C71" s="9" t="s">
        <v>119</v>
      </c>
      <c r="D71" s="9" t="s">
        <v>114</v>
      </c>
      <c r="E71" s="15">
        <f>3251/5280</f>
        <v>0.61571969696969697</v>
      </c>
      <c r="F71" s="9" t="s">
        <v>158</v>
      </c>
      <c r="G71" s="9" t="s">
        <v>159</v>
      </c>
      <c r="H71" s="11" t="s">
        <v>1606</v>
      </c>
    </row>
    <row r="72" spans="1:8" s="9" customFormat="1" x14ac:dyDescent="0.25">
      <c r="A72" s="3" t="s">
        <v>83</v>
      </c>
      <c r="B72" s="9" t="s">
        <v>160</v>
      </c>
      <c r="C72" s="5" t="s">
        <v>119</v>
      </c>
      <c r="D72" s="9" t="s">
        <v>163</v>
      </c>
      <c r="E72" s="15">
        <f>4991/5280</f>
        <v>0.94526515151515156</v>
      </c>
      <c r="F72" s="9" t="s">
        <v>162</v>
      </c>
      <c r="G72" s="9" t="s">
        <v>164</v>
      </c>
      <c r="H72" s="9" t="s">
        <v>161</v>
      </c>
    </row>
    <row r="73" spans="1:8" s="9" customFormat="1" x14ac:dyDescent="0.25">
      <c r="A73" s="3"/>
      <c r="B73" s="6"/>
      <c r="C73" s="6"/>
      <c r="D73" s="6"/>
      <c r="E73" s="4"/>
    </row>
    <row r="74" spans="1:8" s="9" customFormat="1" x14ac:dyDescent="0.25">
      <c r="A74" s="3"/>
      <c r="B74" s="6"/>
      <c r="C74" s="6"/>
      <c r="D74" s="27" t="s">
        <v>329</v>
      </c>
      <c r="E74" s="18">
        <f>SUM(E2:E72)</f>
        <v>34.791515151515149</v>
      </c>
      <c r="F74" s="28">
        <f>E74/120.75</f>
        <v>0.2881284898676203</v>
      </c>
    </row>
    <row r="77" spans="1:8" x14ac:dyDescent="0.25">
      <c r="A77" s="43" t="s">
        <v>1598</v>
      </c>
      <c r="B77" s="43" t="s">
        <v>1602</v>
      </c>
      <c r="D77" s="5"/>
      <c r="E77" s="15"/>
    </row>
    <row r="78" spans="1:8" x14ac:dyDescent="0.25">
      <c r="A78" s="43"/>
      <c r="B78" s="43" t="s">
        <v>1604</v>
      </c>
      <c r="D78" s="5"/>
      <c r="E78" s="15"/>
    </row>
    <row r="79" spans="1:8" x14ac:dyDescent="0.25">
      <c r="A79" s="43"/>
      <c r="B79" s="43" t="s">
        <v>1603</v>
      </c>
      <c r="D79" s="9"/>
      <c r="E79" s="15"/>
    </row>
    <row r="80" spans="1:8" x14ac:dyDescent="0.25">
      <c r="B80" s="43" t="s">
        <v>1605</v>
      </c>
      <c r="D80" s="9"/>
      <c r="E80" s="16"/>
    </row>
    <row r="81" spans="2:5" x14ac:dyDescent="0.25">
      <c r="B81" s="43" t="s">
        <v>1609</v>
      </c>
      <c r="D81" s="9"/>
      <c r="E81" s="15"/>
    </row>
    <row r="82" spans="2:5" x14ac:dyDescent="0.25">
      <c r="B82" s="43" t="s">
        <v>1614</v>
      </c>
      <c r="D82" s="9"/>
      <c r="E82" s="15"/>
    </row>
    <row r="83" spans="2:5" x14ac:dyDescent="0.25">
      <c r="D83" s="9"/>
      <c r="E83" s="15"/>
    </row>
    <row r="84" spans="2:5" x14ac:dyDescent="0.25">
      <c r="D84" s="9"/>
      <c r="E84" s="15"/>
    </row>
    <row r="85" spans="2:5" x14ac:dyDescent="0.25">
      <c r="D85" s="5"/>
      <c r="E85" s="15"/>
    </row>
    <row r="86" spans="2:5" x14ac:dyDescent="0.25">
      <c r="D86" s="9"/>
      <c r="E86" s="15"/>
    </row>
    <row r="87" spans="2:5" x14ac:dyDescent="0.25">
      <c r="D87" s="5"/>
      <c r="E87" s="15"/>
    </row>
    <row r="88" spans="2:5" x14ac:dyDescent="0.25">
      <c r="D88" s="5"/>
      <c r="E88" s="15"/>
    </row>
    <row r="89" spans="2:5" x14ac:dyDescent="0.25">
      <c r="D89" s="9"/>
      <c r="E89" s="15"/>
    </row>
    <row r="90" spans="2:5" x14ac:dyDescent="0.25">
      <c r="D90" s="9"/>
      <c r="E90" s="15"/>
    </row>
    <row r="91" spans="2:5" x14ac:dyDescent="0.25">
      <c r="D91" s="9"/>
      <c r="E91" s="15"/>
    </row>
    <row r="92" spans="2:5" x14ac:dyDescent="0.25">
      <c r="D92" s="9"/>
      <c r="E92" s="15"/>
    </row>
    <row r="93" spans="2:5" x14ac:dyDescent="0.25">
      <c r="D93" s="9"/>
      <c r="E93" s="15"/>
    </row>
    <row r="94" spans="2:5" x14ac:dyDescent="0.25">
      <c r="D94" s="9"/>
      <c r="E94" s="15"/>
    </row>
    <row r="95" spans="2:5" x14ac:dyDescent="0.25">
      <c r="D95" s="9"/>
      <c r="E95" s="15"/>
    </row>
    <row r="96" spans="2:5" x14ac:dyDescent="0.25">
      <c r="D96" s="9"/>
      <c r="E96" s="15"/>
    </row>
    <row r="97" spans="4:5" x14ac:dyDescent="0.25">
      <c r="D97" s="9"/>
      <c r="E97" s="15"/>
    </row>
    <row r="98" spans="4:5" x14ac:dyDescent="0.25">
      <c r="D98" s="9"/>
      <c r="E98" s="16"/>
    </row>
    <row r="99" spans="4:5" x14ac:dyDescent="0.25">
      <c r="D99" s="9"/>
      <c r="E99" s="15"/>
    </row>
    <row r="100" spans="4:5" x14ac:dyDescent="0.25">
      <c r="D100" s="9"/>
      <c r="E100" s="15"/>
    </row>
    <row r="101" spans="4:5" x14ac:dyDescent="0.25">
      <c r="D101" s="9"/>
      <c r="E101" s="15"/>
    </row>
    <row r="102" spans="4:5" x14ac:dyDescent="0.25">
      <c r="D102" s="9"/>
      <c r="E102" s="15"/>
    </row>
    <row r="103" spans="4:5" x14ac:dyDescent="0.25">
      <c r="D103" s="9"/>
      <c r="E103" s="16"/>
    </row>
    <row r="104" spans="4:5" x14ac:dyDescent="0.25">
      <c r="D104" s="9"/>
      <c r="E104" s="16"/>
    </row>
    <row r="105" spans="4:5" x14ac:dyDescent="0.25">
      <c r="D105" s="9"/>
      <c r="E105" s="15"/>
    </row>
    <row r="106" spans="4:5" x14ac:dyDescent="0.25">
      <c r="D106" s="5"/>
      <c r="E106" s="15"/>
    </row>
    <row r="107" spans="4:5" x14ac:dyDescent="0.25">
      <c r="D107" s="9"/>
      <c r="E107" s="16"/>
    </row>
    <row r="108" spans="4:5" x14ac:dyDescent="0.25">
      <c r="D108" s="5"/>
      <c r="E108" s="16"/>
    </row>
    <row r="109" spans="4:5" x14ac:dyDescent="0.25">
      <c r="D109" s="9"/>
      <c r="E109" s="15"/>
    </row>
    <row r="110" spans="4:5" x14ac:dyDescent="0.25">
      <c r="D110" s="5"/>
      <c r="E110" s="16"/>
    </row>
    <row r="111" spans="4:5" x14ac:dyDescent="0.25">
      <c r="D111" s="5"/>
      <c r="E111" s="15"/>
    </row>
    <row r="112" spans="4:5" x14ac:dyDescent="0.25">
      <c r="D112" s="5"/>
      <c r="E112" s="15"/>
    </row>
    <row r="113" spans="4:5" x14ac:dyDescent="0.25">
      <c r="D113" s="5"/>
      <c r="E113" s="16"/>
    </row>
    <row r="114" spans="4:5" x14ac:dyDescent="0.25">
      <c r="D114" s="9"/>
      <c r="E114" s="16"/>
    </row>
    <row r="115" spans="4:5" x14ac:dyDescent="0.25">
      <c r="D115" s="9"/>
      <c r="E115" s="15"/>
    </row>
    <row r="116" spans="4:5" x14ac:dyDescent="0.25">
      <c r="D116" s="9"/>
      <c r="E116" s="15"/>
    </row>
    <row r="117" spans="4:5" x14ac:dyDescent="0.25">
      <c r="D117" s="9"/>
      <c r="E117" s="15"/>
    </row>
    <row r="118" spans="4:5" x14ac:dyDescent="0.25">
      <c r="D118" s="9"/>
      <c r="E118" s="15"/>
    </row>
    <row r="119" spans="4:5" x14ac:dyDescent="0.25">
      <c r="D119" s="9"/>
      <c r="E119" s="15"/>
    </row>
    <row r="120" spans="4:5" x14ac:dyDescent="0.25">
      <c r="D120" s="9"/>
      <c r="E120" s="15"/>
    </row>
    <row r="121" spans="4:5" x14ac:dyDescent="0.25">
      <c r="D121" s="9"/>
      <c r="E121" s="15"/>
    </row>
    <row r="122" spans="4:5" x14ac:dyDescent="0.25">
      <c r="D122" s="9"/>
      <c r="E122" s="15"/>
    </row>
    <row r="123" spans="4:5" x14ac:dyDescent="0.25">
      <c r="D123" s="5"/>
      <c r="E123" s="15"/>
    </row>
    <row r="124" spans="4:5" x14ac:dyDescent="0.25">
      <c r="D124" s="5"/>
      <c r="E124" s="15"/>
    </row>
    <row r="125" spans="4:5" x14ac:dyDescent="0.25">
      <c r="D125" s="9"/>
      <c r="E125" s="15"/>
    </row>
    <row r="126" spans="4:5" x14ac:dyDescent="0.25">
      <c r="D126" s="9"/>
      <c r="E126" s="15"/>
    </row>
    <row r="127" spans="4:5" x14ac:dyDescent="0.25">
      <c r="D127" s="9"/>
      <c r="E127" s="15"/>
    </row>
    <row r="128" spans="4:5" x14ac:dyDescent="0.25">
      <c r="D128" s="9"/>
      <c r="E128" s="16"/>
    </row>
    <row r="129" spans="4:5" x14ac:dyDescent="0.25">
      <c r="D129" s="5"/>
      <c r="E129" s="15"/>
    </row>
    <row r="130" spans="4:5" x14ac:dyDescent="0.25">
      <c r="D130" s="5"/>
      <c r="E130" s="15"/>
    </row>
    <row r="131" spans="4:5" x14ac:dyDescent="0.25">
      <c r="D131" s="9"/>
      <c r="E131" s="15"/>
    </row>
    <row r="132" spans="4:5" x14ac:dyDescent="0.25">
      <c r="D132" s="9"/>
      <c r="E132" s="15"/>
    </row>
    <row r="133" spans="4:5" x14ac:dyDescent="0.25">
      <c r="D133" s="9"/>
      <c r="E133" s="15"/>
    </row>
    <row r="134" spans="4:5" x14ac:dyDescent="0.25">
      <c r="D134" s="9"/>
      <c r="E134" s="15"/>
    </row>
    <row r="135" spans="4:5" x14ac:dyDescent="0.25">
      <c r="D135" s="9"/>
      <c r="E135" s="15"/>
    </row>
    <row r="136" spans="4:5" x14ac:dyDescent="0.25">
      <c r="D136" s="9"/>
      <c r="E136" s="4"/>
    </row>
    <row r="137" spans="4:5" x14ac:dyDescent="0.25">
      <c r="D137" s="9"/>
      <c r="E137" s="15"/>
    </row>
    <row r="138" spans="4:5" x14ac:dyDescent="0.25">
      <c r="D138" s="9"/>
      <c r="E138" s="15"/>
    </row>
    <row r="139" spans="4:5" x14ac:dyDescent="0.25">
      <c r="D139" s="9"/>
      <c r="E139" s="15"/>
    </row>
    <row r="140" spans="4:5" x14ac:dyDescent="0.25">
      <c r="D140" s="9"/>
      <c r="E140" s="15"/>
    </row>
    <row r="141" spans="4:5" x14ac:dyDescent="0.25">
      <c r="D141" s="9"/>
      <c r="E141" s="15"/>
    </row>
    <row r="142" spans="4:5" x14ac:dyDescent="0.25">
      <c r="D142" s="5"/>
      <c r="E142" s="16"/>
    </row>
    <row r="143" spans="4:5" x14ac:dyDescent="0.25">
      <c r="D143" s="5"/>
      <c r="E143" s="15"/>
    </row>
    <row r="144" spans="4:5" x14ac:dyDescent="0.25">
      <c r="D144" s="9"/>
      <c r="E144" s="15"/>
    </row>
    <row r="145" spans="4:5" x14ac:dyDescent="0.25">
      <c r="D145" s="9"/>
      <c r="E145" s="15"/>
    </row>
    <row r="146" spans="4:5" x14ac:dyDescent="0.25">
      <c r="D146" s="5"/>
      <c r="E146" s="16"/>
    </row>
    <row r="147" spans="4:5" x14ac:dyDescent="0.25">
      <c r="D147" s="5"/>
      <c r="E147" s="15"/>
    </row>
    <row r="148" spans="4:5" x14ac:dyDescent="0.25">
      <c r="D148" s="9"/>
      <c r="E148" s="15"/>
    </row>
  </sheetData>
  <sortState ref="D79:E150">
    <sortCondition ref="D79:D150"/>
  </sortState>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pane ySplit="1" topLeftCell="A2" activePane="bottomLeft" state="frozen"/>
      <selection pane="bottomLeft" activeCell="A2" sqref="A2"/>
    </sheetView>
  </sheetViews>
  <sheetFormatPr defaultRowHeight="15" x14ac:dyDescent="0.25"/>
  <cols>
    <col min="1" max="1" width="12.42578125" customWidth="1"/>
    <col min="2" max="2" width="38" customWidth="1"/>
    <col min="3" max="3" width="14" customWidth="1"/>
    <col min="4" max="4" width="39.140625" customWidth="1"/>
    <col min="5" max="5" width="15.7109375" customWidth="1"/>
    <col min="6" max="6" width="49" customWidth="1"/>
    <col min="7" max="7" width="36.140625" customWidth="1"/>
    <col min="8" max="8" width="38.28515625" customWidth="1"/>
  </cols>
  <sheetData>
    <row r="1" spans="1:8" s="1" customFormat="1" ht="45" x14ac:dyDescent="0.25">
      <c r="A1" s="1" t="s">
        <v>0</v>
      </c>
      <c r="B1" s="1" t="s">
        <v>1</v>
      </c>
      <c r="C1" s="1" t="s">
        <v>2</v>
      </c>
      <c r="D1" s="1" t="s">
        <v>3</v>
      </c>
      <c r="E1" s="2" t="s">
        <v>71</v>
      </c>
      <c r="F1" s="1" t="s">
        <v>4</v>
      </c>
      <c r="G1" s="1" t="s">
        <v>5</v>
      </c>
      <c r="H1" s="1" t="s">
        <v>6</v>
      </c>
    </row>
    <row r="2" spans="1:8" s="9" customFormat="1" x14ac:dyDescent="0.25">
      <c r="A2" s="3" t="s">
        <v>169</v>
      </c>
      <c r="B2" s="9" t="s">
        <v>361</v>
      </c>
      <c r="C2" s="9" t="s">
        <v>62</v>
      </c>
      <c r="D2" s="9" t="s">
        <v>360</v>
      </c>
      <c r="E2" s="15">
        <f>(1337-580)/5280</f>
        <v>0.14337121212121212</v>
      </c>
      <c r="F2" s="9" t="s">
        <v>12</v>
      </c>
      <c r="G2" s="9" t="s">
        <v>362</v>
      </c>
      <c r="H2" s="11" t="s">
        <v>1612</v>
      </c>
    </row>
    <row r="3" spans="1:8" s="9" customFormat="1" x14ac:dyDescent="0.25">
      <c r="A3" s="3" t="s">
        <v>169</v>
      </c>
      <c r="B3" s="9" t="s">
        <v>358</v>
      </c>
      <c r="C3" s="9" t="s">
        <v>62</v>
      </c>
      <c r="D3" s="9" t="s">
        <v>363</v>
      </c>
      <c r="E3" s="15">
        <f>(10952+13370)/5280</f>
        <v>4.6064393939393939</v>
      </c>
      <c r="F3" s="9" t="s">
        <v>12</v>
      </c>
      <c r="G3" s="9" t="s">
        <v>526</v>
      </c>
      <c r="H3" s="11" t="s">
        <v>525</v>
      </c>
    </row>
    <row r="4" spans="1:8" s="9" customFormat="1" x14ac:dyDescent="0.25">
      <c r="A4" s="3" t="s">
        <v>169</v>
      </c>
      <c r="B4" s="14" t="s">
        <v>366</v>
      </c>
      <c r="C4" s="9" t="s">
        <v>62</v>
      </c>
      <c r="D4" s="5" t="s">
        <v>364</v>
      </c>
      <c r="E4" s="15">
        <f>524/5280</f>
        <v>9.9242424242424243E-2</v>
      </c>
      <c r="F4" s="9" t="s">
        <v>96</v>
      </c>
      <c r="G4" s="9" t="s">
        <v>365</v>
      </c>
      <c r="H4" s="11" t="s">
        <v>1612</v>
      </c>
    </row>
    <row r="5" spans="1:8" s="9" customFormat="1" x14ac:dyDescent="0.25">
      <c r="A5" s="3" t="s">
        <v>169</v>
      </c>
      <c r="B5" s="5" t="s">
        <v>367</v>
      </c>
      <c r="C5" s="9" t="s">
        <v>62</v>
      </c>
      <c r="D5" s="9" t="s">
        <v>364</v>
      </c>
      <c r="E5" s="15">
        <f>660/5280</f>
        <v>0.125</v>
      </c>
      <c r="F5" s="9" t="s">
        <v>96</v>
      </c>
      <c r="G5" s="9" t="s">
        <v>368</v>
      </c>
      <c r="H5" s="11" t="s">
        <v>1612</v>
      </c>
    </row>
    <row r="6" spans="1:8" s="9" customFormat="1" x14ac:dyDescent="0.25">
      <c r="A6" s="3" t="s">
        <v>169</v>
      </c>
      <c r="B6" s="9" t="s">
        <v>369</v>
      </c>
      <c r="C6" s="9" t="s">
        <v>62</v>
      </c>
      <c r="D6" s="9" t="s">
        <v>364</v>
      </c>
      <c r="E6" s="15">
        <f>992/5280</f>
        <v>0.18787878787878787</v>
      </c>
      <c r="F6" s="9" t="s">
        <v>370</v>
      </c>
      <c r="H6" s="11" t="s">
        <v>1612</v>
      </c>
    </row>
    <row r="7" spans="1:8" s="9" customFormat="1" x14ac:dyDescent="0.25">
      <c r="A7" s="3" t="s">
        <v>169</v>
      </c>
      <c r="B7" s="5" t="s">
        <v>1550</v>
      </c>
      <c r="C7" s="5" t="s">
        <v>62</v>
      </c>
      <c r="D7" s="5" t="s">
        <v>1556</v>
      </c>
      <c r="E7" s="16">
        <f>5176/5280</f>
        <v>0.98030303030303034</v>
      </c>
      <c r="F7" s="5" t="s">
        <v>1551</v>
      </c>
      <c r="G7" s="5" t="s">
        <v>371</v>
      </c>
      <c r="H7" s="5" t="s">
        <v>1611</v>
      </c>
    </row>
    <row r="8" spans="1:8" s="9" customFormat="1" x14ac:dyDescent="0.25">
      <c r="A8" s="3" t="s">
        <v>169</v>
      </c>
      <c r="B8" s="5" t="s">
        <v>1553</v>
      </c>
      <c r="C8" s="9" t="s">
        <v>62</v>
      </c>
      <c r="D8" s="5" t="s">
        <v>364</v>
      </c>
      <c r="E8" s="15">
        <f>1063/5280</f>
        <v>0.20132575757575757</v>
      </c>
      <c r="F8" s="9" t="s">
        <v>202</v>
      </c>
      <c r="G8" s="9" t="s">
        <v>372</v>
      </c>
      <c r="H8" s="11" t="s">
        <v>1612</v>
      </c>
    </row>
    <row r="9" spans="1:8" s="9" customFormat="1" x14ac:dyDescent="0.25">
      <c r="A9" s="3" t="s">
        <v>169</v>
      </c>
      <c r="B9" s="5" t="s">
        <v>1549</v>
      </c>
      <c r="C9" s="9" t="s">
        <v>62</v>
      </c>
      <c r="D9" s="9" t="s">
        <v>88</v>
      </c>
      <c r="E9" s="15">
        <f>859/5280</f>
        <v>0.16268939393939394</v>
      </c>
      <c r="F9" s="9" t="s">
        <v>202</v>
      </c>
      <c r="H9" s="9" t="s">
        <v>1613</v>
      </c>
    </row>
    <row r="10" spans="1:8" s="9" customFormat="1" x14ac:dyDescent="0.25">
      <c r="A10" s="3" t="s">
        <v>169</v>
      </c>
      <c r="B10" s="5" t="s">
        <v>1552</v>
      </c>
      <c r="C10" s="9" t="s">
        <v>62</v>
      </c>
      <c r="D10" s="9" t="s">
        <v>364</v>
      </c>
      <c r="E10" s="15">
        <f>1090/5280</f>
        <v>0.20643939393939395</v>
      </c>
      <c r="F10" s="9" t="s">
        <v>12</v>
      </c>
      <c r="G10" s="9" t="s">
        <v>374</v>
      </c>
      <c r="H10" s="11" t="s">
        <v>1612</v>
      </c>
    </row>
    <row r="11" spans="1:8" s="9" customFormat="1" x14ac:dyDescent="0.25">
      <c r="A11" s="3" t="s">
        <v>169</v>
      </c>
      <c r="B11" s="5" t="s">
        <v>373</v>
      </c>
      <c r="C11" s="9" t="s">
        <v>62</v>
      </c>
      <c r="D11" s="9" t="s">
        <v>375</v>
      </c>
      <c r="E11" s="15">
        <f>9506/5280</f>
        <v>1.8003787878787878</v>
      </c>
      <c r="F11" s="9" t="s">
        <v>75</v>
      </c>
      <c r="H11" s="11" t="s">
        <v>1612</v>
      </c>
    </row>
    <row r="12" spans="1:8" s="9" customFormat="1" x14ac:dyDescent="0.25">
      <c r="A12" s="3" t="s">
        <v>169</v>
      </c>
      <c r="B12" s="9" t="s">
        <v>359</v>
      </c>
      <c r="C12" s="9" t="s">
        <v>62</v>
      </c>
      <c r="D12" s="9" t="s">
        <v>92</v>
      </c>
      <c r="E12" s="15">
        <f>22262/5280</f>
        <v>4.2162878787878784</v>
      </c>
      <c r="F12" s="9" t="s">
        <v>12</v>
      </c>
      <c r="G12" s="9" t="s">
        <v>381</v>
      </c>
      <c r="H12" s="11" t="s">
        <v>1612</v>
      </c>
    </row>
    <row r="13" spans="1:8" s="9" customFormat="1" x14ac:dyDescent="0.25">
      <c r="A13" s="3" t="s">
        <v>169</v>
      </c>
      <c r="B13" s="5" t="s">
        <v>379</v>
      </c>
      <c r="C13" s="9" t="s">
        <v>62</v>
      </c>
      <c r="D13" s="9" t="s">
        <v>92</v>
      </c>
      <c r="E13" s="15">
        <f>(227+5404)/5280</f>
        <v>1.0664772727272727</v>
      </c>
      <c r="F13" s="9" t="s">
        <v>12</v>
      </c>
      <c r="G13" s="9" t="s">
        <v>380</v>
      </c>
      <c r="H13" s="11" t="s">
        <v>1612</v>
      </c>
    </row>
    <row r="14" spans="1:8" s="9" customFormat="1" x14ac:dyDescent="0.25">
      <c r="A14" s="3" t="s">
        <v>169</v>
      </c>
      <c r="B14" s="14" t="s">
        <v>382</v>
      </c>
      <c r="C14" s="9" t="s">
        <v>62</v>
      </c>
      <c r="D14" s="9" t="s">
        <v>238</v>
      </c>
      <c r="E14" s="15">
        <f>106/5280</f>
        <v>2.0075757575757577E-2</v>
      </c>
      <c r="F14" s="9" t="s">
        <v>75</v>
      </c>
      <c r="G14" s="9" t="s">
        <v>383</v>
      </c>
      <c r="H14" s="11" t="s">
        <v>1612</v>
      </c>
    </row>
    <row r="15" spans="1:8" s="9" customFormat="1" x14ac:dyDescent="0.25">
      <c r="A15" s="3" t="s">
        <v>169</v>
      </c>
      <c r="B15" s="14" t="s">
        <v>384</v>
      </c>
      <c r="C15" s="9" t="s">
        <v>62</v>
      </c>
      <c r="D15" s="9" t="s">
        <v>364</v>
      </c>
      <c r="E15" s="15">
        <f>420/5280</f>
        <v>7.9545454545454544E-2</v>
      </c>
      <c r="F15" s="9" t="s">
        <v>96</v>
      </c>
      <c r="G15" s="9" t="s">
        <v>385</v>
      </c>
      <c r="H15" s="11" t="s">
        <v>1612</v>
      </c>
    </row>
    <row r="16" spans="1:8" s="9" customFormat="1" x14ac:dyDescent="0.25">
      <c r="A16" s="3" t="s">
        <v>169</v>
      </c>
      <c r="B16" s="14" t="s">
        <v>387</v>
      </c>
      <c r="C16" s="9" t="s">
        <v>62</v>
      </c>
      <c r="D16" s="9" t="s">
        <v>364</v>
      </c>
      <c r="E16" s="15">
        <f>2241/5280</f>
        <v>0.42443181818181819</v>
      </c>
      <c r="F16" s="9" t="s">
        <v>386</v>
      </c>
      <c r="G16" s="9" t="s">
        <v>388</v>
      </c>
      <c r="H16" s="11" t="s">
        <v>1612</v>
      </c>
    </row>
    <row r="17" spans="1:8" s="9" customFormat="1" x14ac:dyDescent="0.25">
      <c r="A17" s="3" t="s">
        <v>169</v>
      </c>
      <c r="B17" s="14" t="s">
        <v>1554</v>
      </c>
      <c r="C17" s="5" t="s">
        <v>62</v>
      </c>
      <c r="D17" s="5" t="s">
        <v>364</v>
      </c>
      <c r="E17" s="16">
        <f>2706/5280</f>
        <v>0.51249999999999996</v>
      </c>
      <c r="F17" s="5" t="s">
        <v>1555</v>
      </c>
      <c r="G17" s="9" t="s">
        <v>389</v>
      </c>
      <c r="H17" s="11" t="s">
        <v>1612</v>
      </c>
    </row>
    <row r="18" spans="1:8" s="9" customFormat="1" x14ac:dyDescent="0.25">
      <c r="A18" s="3" t="s">
        <v>169</v>
      </c>
      <c r="B18" s="14" t="s">
        <v>390</v>
      </c>
      <c r="C18" s="9" t="s">
        <v>62</v>
      </c>
      <c r="D18" s="9" t="s">
        <v>364</v>
      </c>
      <c r="E18" s="15">
        <f>2008/5280</f>
        <v>0.38030303030303031</v>
      </c>
      <c r="F18" s="9" t="s">
        <v>202</v>
      </c>
      <c r="G18" s="9" t="s">
        <v>426</v>
      </c>
      <c r="H18" s="9" t="s">
        <v>424</v>
      </c>
    </row>
    <row r="19" spans="1:8" s="9" customFormat="1" x14ac:dyDescent="0.25">
      <c r="A19" s="3" t="s">
        <v>169</v>
      </c>
      <c r="B19" s="14" t="s">
        <v>1557</v>
      </c>
      <c r="C19" s="9" t="s">
        <v>62</v>
      </c>
      <c r="D19" s="9" t="s">
        <v>364</v>
      </c>
      <c r="E19" s="15">
        <f>(1351+620)/5280</f>
        <v>0.37329545454545454</v>
      </c>
      <c r="F19" s="9" t="s">
        <v>202</v>
      </c>
      <c r="G19" s="9" t="s">
        <v>425</v>
      </c>
      <c r="H19" s="9" t="s">
        <v>424</v>
      </c>
    </row>
    <row r="20" spans="1:8" s="9" customFormat="1" x14ac:dyDescent="0.25">
      <c r="A20" s="3" t="s">
        <v>169</v>
      </c>
      <c r="B20" s="14" t="s">
        <v>1558</v>
      </c>
      <c r="C20" s="5" t="s">
        <v>62</v>
      </c>
      <c r="D20" s="5" t="s">
        <v>364</v>
      </c>
      <c r="E20" s="15">
        <f>620/5280</f>
        <v>0.11742424242424243</v>
      </c>
      <c r="F20" s="5" t="s">
        <v>202</v>
      </c>
      <c r="H20" s="11" t="s">
        <v>1612</v>
      </c>
    </row>
    <row r="21" spans="1:8" s="9" customFormat="1" x14ac:dyDescent="0.25">
      <c r="A21" s="3" t="s">
        <v>169</v>
      </c>
      <c r="B21" s="14" t="s">
        <v>1559</v>
      </c>
      <c r="C21" s="9" t="s">
        <v>62</v>
      </c>
      <c r="D21" s="5" t="s">
        <v>1556</v>
      </c>
      <c r="E21" s="15">
        <f>883/5280</f>
        <v>0.16723484848484849</v>
      </c>
      <c r="F21" s="5" t="s">
        <v>1551</v>
      </c>
      <c r="G21" s="5" t="s">
        <v>391</v>
      </c>
      <c r="H21" s="11" t="s">
        <v>1611</v>
      </c>
    </row>
    <row r="22" spans="1:8" s="9" customFormat="1" x14ac:dyDescent="0.25">
      <c r="A22" s="3" t="s">
        <v>169</v>
      </c>
      <c r="B22" s="14" t="s">
        <v>392</v>
      </c>
      <c r="C22" s="9" t="s">
        <v>62</v>
      </c>
      <c r="D22" s="5" t="s">
        <v>393</v>
      </c>
      <c r="E22" s="15">
        <f>1518/5280</f>
        <v>0.28749999999999998</v>
      </c>
      <c r="F22" s="5" t="s">
        <v>394</v>
      </c>
      <c r="G22" s="5" t="s">
        <v>396</v>
      </c>
      <c r="H22" s="11" t="s">
        <v>1612</v>
      </c>
    </row>
    <row r="23" spans="1:8" s="9" customFormat="1" x14ac:dyDescent="0.25">
      <c r="A23" s="3" t="s">
        <v>169</v>
      </c>
      <c r="B23" s="14" t="s">
        <v>398</v>
      </c>
      <c r="C23" s="9" t="s">
        <v>62</v>
      </c>
      <c r="D23" s="9" t="s">
        <v>364</v>
      </c>
      <c r="E23" s="15">
        <f>2207/5280</f>
        <v>0.41799242424242422</v>
      </c>
      <c r="F23" s="9" t="s">
        <v>12</v>
      </c>
      <c r="G23" s="9" t="s">
        <v>397</v>
      </c>
      <c r="H23" s="11" t="s">
        <v>1612</v>
      </c>
    </row>
    <row r="24" spans="1:8" s="9" customFormat="1" x14ac:dyDescent="0.25">
      <c r="A24" s="3" t="s">
        <v>169</v>
      </c>
      <c r="B24" s="14" t="s">
        <v>399</v>
      </c>
      <c r="C24" s="9" t="s">
        <v>62</v>
      </c>
      <c r="D24" s="9" t="s">
        <v>364</v>
      </c>
      <c r="E24" s="15">
        <f>2832/5280</f>
        <v>0.53636363636363638</v>
      </c>
      <c r="F24" s="5" t="s">
        <v>96</v>
      </c>
      <c r="G24" s="9" t="s">
        <v>423</v>
      </c>
      <c r="H24" s="5" t="s">
        <v>424</v>
      </c>
    </row>
    <row r="25" spans="1:8" s="9" customFormat="1" x14ac:dyDescent="0.25">
      <c r="A25" s="3" t="s">
        <v>169</v>
      </c>
      <c r="B25" s="14" t="s">
        <v>400</v>
      </c>
      <c r="C25" s="9" t="s">
        <v>62</v>
      </c>
      <c r="D25" s="9" t="s">
        <v>88</v>
      </c>
      <c r="E25" s="15">
        <f>(11025+9689+853)/5280</f>
        <v>4.0846590909090912</v>
      </c>
      <c r="F25" s="9" t="s">
        <v>12</v>
      </c>
      <c r="G25" s="9" t="s">
        <v>401</v>
      </c>
      <c r="H25" s="11" t="s">
        <v>1612</v>
      </c>
    </row>
    <row r="26" spans="1:8" s="9" customFormat="1" x14ac:dyDescent="0.25">
      <c r="A26" s="3" t="s">
        <v>169</v>
      </c>
      <c r="B26" s="14" t="s">
        <v>404</v>
      </c>
      <c r="C26" s="9" t="s">
        <v>62</v>
      </c>
      <c r="D26" s="9" t="s">
        <v>118</v>
      </c>
      <c r="E26" s="15">
        <f>1978/5280</f>
        <v>0.37462121212121213</v>
      </c>
      <c r="F26" s="9" t="s">
        <v>75</v>
      </c>
      <c r="H26" s="11" t="s">
        <v>1612</v>
      </c>
    </row>
    <row r="27" spans="1:8" s="9" customFormat="1" x14ac:dyDescent="0.25">
      <c r="A27" s="3" t="s">
        <v>169</v>
      </c>
      <c r="B27" s="14" t="s">
        <v>407</v>
      </c>
      <c r="C27" s="9" t="s">
        <v>62</v>
      </c>
      <c r="D27" s="9" t="s">
        <v>364</v>
      </c>
      <c r="E27" s="15">
        <f>250/5280</f>
        <v>4.7348484848484848E-2</v>
      </c>
      <c r="F27" s="9" t="s">
        <v>96</v>
      </c>
      <c r="H27" s="11" t="s">
        <v>1612</v>
      </c>
    </row>
    <row r="28" spans="1:8" s="9" customFormat="1" x14ac:dyDescent="0.25">
      <c r="A28" s="3" t="s">
        <v>169</v>
      </c>
      <c r="B28" s="14" t="s">
        <v>403</v>
      </c>
      <c r="C28" s="9" t="s">
        <v>62</v>
      </c>
      <c r="D28" s="9" t="s">
        <v>405</v>
      </c>
      <c r="E28" s="15">
        <f>(195+1878)/5280</f>
        <v>0.39261363636363639</v>
      </c>
      <c r="F28" s="9" t="s">
        <v>75</v>
      </c>
      <c r="G28" s="9" t="s">
        <v>406</v>
      </c>
      <c r="H28" s="11" t="s">
        <v>1612</v>
      </c>
    </row>
    <row r="29" spans="1:8" s="9" customFormat="1" x14ac:dyDescent="0.25">
      <c r="A29" s="3" t="s">
        <v>169</v>
      </c>
      <c r="B29" s="14" t="s">
        <v>1615</v>
      </c>
      <c r="C29" s="9" t="s">
        <v>62</v>
      </c>
      <c r="D29" s="5" t="s">
        <v>1556</v>
      </c>
      <c r="E29" s="15">
        <f>876/5280</f>
        <v>0.16590909090909092</v>
      </c>
      <c r="F29" s="5" t="s">
        <v>1556</v>
      </c>
      <c r="H29" s="11" t="s">
        <v>1611</v>
      </c>
    </row>
    <row r="30" spans="1:8" s="9" customFormat="1" x14ac:dyDescent="0.25">
      <c r="A30" s="3" t="s">
        <v>169</v>
      </c>
      <c r="B30" s="14" t="s">
        <v>376</v>
      </c>
      <c r="C30" s="9" t="s">
        <v>62</v>
      </c>
      <c r="D30" s="9" t="s">
        <v>402</v>
      </c>
      <c r="E30" s="15">
        <f>6831/5280</f>
        <v>1.29375</v>
      </c>
      <c r="F30" s="9" t="s">
        <v>75</v>
      </c>
      <c r="G30" s="9" t="s">
        <v>395</v>
      </c>
      <c r="H30" s="11" t="s">
        <v>1612</v>
      </c>
    </row>
    <row r="31" spans="1:8" s="9" customFormat="1" x14ac:dyDescent="0.25">
      <c r="A31" s="3" t="s">
        <v>169</v>
      </c>
      <c r="B31" s="14" t="s">
        <v>408</v>
      </c>
      <c r="C31" s="9" t="s">
        <v>62</v>
      </c>
      <c r="D31" s="9" t="s">
        <v>409</v>
      </c>
      <c r="E31" s="15">
        <f>845/5280</f>
        <v>0.16003787878787878</v>
      </c>
      <c r="F31" s="9" t="s">
        <v>96</v>
      </c>
      <c r="G31" s="9" t="s">
        <v>410</v>
      </c>
      <c r="H31" s="11" t="s">
        <v>1612</v>
      </c>
    </row>
    <row r="32" spans="1:8" s="9" customFormat="1" x14ac:dyDescent="0.25">
      <c r="A32" s="3" t="s">
        <v>169</v>
      </c>
      <c r="B32" s="14" t="s">
        <v>412</v>
      </c>
      <c r="C32" s="9" t="s">
        <v>62</v>
      </c>
      <c r="D32" s="5" t="s">
        <v>1556</v>
      </c>
      <c r="E32" s="16">
        <f>391/5280</f>
        <v>7.4053030303030301E-2</v>
      </c>
      <c r="F32" s="5" t="s">
        <v>1556</v>
      </c>
      <c r="G32" s="9" t="s">
        <v>411</v>
      </c>
      <c r="H32" s="11" t="s">
        <v>1611</v>
      </c>
    </row>
    <row r="33" spans="1:8" s="9" customFormat="1" x14ac:dyDescent="0.25">
      <c r="A33" s="3" t="s">
        <v>169</v>
      </c>
      <c r="B33" s="14" t="s">
        <v>413</v>
      </c>
      <c r="C33" s="9" t="s">
        <v>62</v>
      </c>
      <c r="D33" s="9" t="s">
        <v>238</v>
      </c>
      <c r="E33" s="15">
        <f>985/5280</f>
        <v>0.1865530303030303</v>
      </c>
      <c r="F33" s="9" t="s">
        <v>244</v>
      </c>
      <c r="G33" s="9" t="s">
        <v>414</v>
      </c>
      <c r="H33" s="11" t="s">
        <v>1612</v>
      </c>
    </row>
    <row r="34" spans="1:8" s="9" customFormat="1" x14ac:dyDescent="0.25">
      <c r="A34" s="3" t="s">
        <v>169</v>
      </c>
      <c r="B34" s="14" t="s">
        <v>1560</v>
      </c>
      <c r="C34" s="9" t="s">
        <v>62</v>
      </c>
      <c r="D34" s="5" t="s">
        <v>1556</v>
      </c>
      <c r="E34" s="15">
        <f>232/5280</f>
        <v>4.3939393939393938E-2</v>
      </c>
      <c r="F34" s="5" t="s">
        <v>1556</v>
      </c>
      <c r="G34" s="5" t="s">
        <v>415</v>
      </c>
      <c r="H34" s="11" t="s">
        <v>1611</v>
      </c>
    </row>
    <row r="35" spans="1:8" s="9" customFormat="1" x14ac:dyDescent="0.25">
      <c r="A35" s="3" t="s">
        <v>169</v>
      </c>
      <c r="B35" s="14" t="s">
        <v>416</v>
      </c>
      <c r="C35" s="9" t="s">
        <v>62</v>
      </c>
      <c r="D35" s="9" t="s">
        <v>417</v>
      </c>
      <c r="E35" s="15">
        <f>(611+6503)/5280</f>
        <v>1.3473484848484849</v>
      </c>
      <c r="F35" s="9" t="s">
        <v>158</v>
      </c>
      <c r="G35" s="9" t="s">
        <v>418</v>
      </c>
      <c r="H35" s="11" t="s">
        <v>1612</v>
      </c>
    </row>
    <row r="36" spans="1:8" s="9" customFormat="1" x14ac:dyDescent="0.25">
      <c r="A36" s="3" t="s">
        <v>169</v>
      </c>
      <c r="B36" s="14" t="s">
        <v>419</v>
      </c>
      <c r="C36" s="9" t="s">
        <v>62</v>
      </c>
      <c r="D36" s="5" t="s">
        <v>88</v>
      </c>
      <c r="E36" s="15">
        <f>2799/5280</f>
        <v>0.5301136363636364</v>
      </c>
      <c r="F36" s="5" t="s">
        <v>125</v>
      </c>
      <c r="H36" s="11" t="s">
        <v>1612</v>
      </c>
    </row>
    <row r="37" spans="1:8" s="9" customFormat="1" x14ac:dyDescent="0.25">
      <c r="A37" s="3" t="s">
        <v>169</v>
      </c>
      <c r="B37" s="14" t="s">
        <v>377</v>
      </c>
      <c r="C37" s="9" t="s">
        <v>62</v>
      </c>
      <c r="D37" s="9" t="s">
        <v>68</v>
      </c>
      <c r="E37" s="15">
        <f>(9708+3757+5879)/5280</f>
        <v>3.6636363636363636</v>
      </c>
      <c r="F37" s="9" t="s">
        <v>74</v>
      </c>
      <c r="G37" s="9" t="s">
        <v>420</v>
      </c>
      <c r="H37" s="5" t="s">
        <v>136</v>
      </c>
    </row>
    <row r="38" spans="1:8" s="9" customFormat="1" x14ac:dyDescent="0.25">
      <c r="A38" s="3" t="s">
        <v>169</v>
      </c>
      <c r="B38" s="14" t="s">
        <v>421</v>
      </c>
      <c r="C38" s="9" t="s">
        <v>62</v>
      </c>
      <c r="D38" s="9" t="s">
        <v>238</v>
      </c>
      <c r="E38" s="15">
        <f>(3197+743+519+5676+1400)/5280</f>
        <v>2.1846590909090908</v>
      </c>
      <c r="F38" s="9" t="s">
        <v>244</v>
      </c>
      <c r="G38" s="9" t="s">
        <v>422</v>
      </c>
      <c r="H38" s="11" t="s">
        <v>1612</v>
      </c>
    </row>
    <row r="39" spans="1:8" s="9" customFormat="1" x14ac:dyDescent="0.25">
      <c r="A39" s="3" t="s">
        <v>169</v>
      </c>
      <c r="B39" s="14" t="s">
        <v>1526</v>
      </c>
      <c r="C39" s="9" t="s">
        <v>62</v>
      </c>
      <c r="D39" s="14" t="s">
        <v>118</v>
      </c>
      <c r="E39" s="15">
        <f>2378/5280</f>
        <v>0.45037878787878788</v>
      </c>
      <c r="F39" s="5" t="s">
        <v>244</v>
      </c>
      <c r="H39" s="11" t="s">
        <v>1612</v>
      </c>
    </row>
    <row r="40" spans="1:8" s="9" customFormat="1" x14ac:dyDescent="0.25">
      <c r="A40" s="3" t="s">
        <v>169</v>
      </c>
      <c r="B40" s="14" t="s">
        <v>378</v>
      </c>
      <c r="C40" s="9" t="s">
        <v>62</v>
      </c>
      <c r="D40" s="5" t="s">
        <v>88</v>
      </c>
      <c r="E40" s="15">
        <f>1482/5280</f>
        <v>0.2806818181818182</v>
      </c>
      <c r="F40" s="9" t="s">
        <v>202</v>
      </c>
      <c r="G40" s="9" t="s">
        <v>427</v>
      </c>
      <c r="H40" s="11" t="s">
        <v>1612</v>
      </c>
    </row>
    <row r="41" spans="1:8" s="9" customFormat="1" x14ac:dyDescent="0.25">
      <c r="A41" s="3" t="s">
        <v>169</v>
      </c>
      <c r="B41" s="14" t="s">
        <v>1561</v>
      </c>
      <c r="C41" s="9" t="s">
        <v>62</v>
      </c>
      <c r="D41" s="9" t="s">
        <v>428</v>
      </c>
      <c r="E41" s="15">
        <f>1992/5280</f>
        <v>0.37727272727272726</v>
      </c>
      <c r="F41" s="9" t="s">
        <v>429</v>
      </c>
      <c r="H41" s="11" t="s">
        <v>1612</v>
      </c>
    </row>
    <row r="42" spans="1:8" s="9" customFormat="1" x14ac:dyDescent="0.25">
      <c r="A42" s="3" t="s">
        <v>169</v>
      </c>
      <c r="B42" s="14" t="s">
        <v>430</v>
      </c>
      <c r="C42" s="9" t="s">
        <v>62</v>
      </c>
      <c r="D42" s="5" t="s">
        <v>417</v>
      </c>
      <c r="E42" s="15">
        <f>1218/5280</f>
        <v>0.23068181818181818</v>
      </c>
      <c r="F42" s="9" t="s">
        <v>96</v>
      </c>
      <c r="G42" s="9" t="s">
        <v>431</v>
      </c>
      <c r="H42" s="11" t="s">
        <v>1612</v>
      </c>
    </row>
    <row r="43" spans="1:8" s="9" customFormat="1" x14ac:dyDescent="0.25">
      <c r="A43" s="3" t="s">
        <v>169</v>
      </c>
      <c r="B43" s="14" t="s">
        <v>432</v>
      </c>
      <c r="C43" s="9" t="s">
        <v>62</v>
      </c>
      <c r="D43" s="9" t="s">
        <v>417</v>
      </c>
      <c r="E43" s="15">
        <f>960/5280</f>
        <v>0.18181818181818182</v>
      </c>
      <c r="F43" s="9" t="s">
        <v>96</v>
      </c>
      <c r="H43" s="11" t="s">
        <v>1612</v>
      </c>
    </row>
    <row r="44" spans="1:8" s="9" customFormat="1" x14ac:dyDescent="0.25">
      <c r="A44" s="3" t="s">
        <v>169</v>
      </c>
      <c r="B44" s="14" t="s">
        <v>433</v>
      </c>
      <c r="C44" s="9" t="s">
        <v>62</v>
      </c>
      <c r="D44" s="9" t="s">
        <v>417</v>
      </c>
      <c r="E44" s="15">
        <f>2754/5280</f>
        <v>0.52159090909090911</v>
      </c>
      <c r="F44" s="9" t="s">
        <v>12</v>
      </c>
      <c r="G44" s="9" t="s">
        <v>434</v>
      </c>
      <c r="H44" s="11" t="s">
        <v>1612</v>
      </c>
    </row>
    <row r="45" spans="1:8" s="5" customFormat="1" x14ac:dyDescent="0.25">
      <c r="A45" s="17" t="s">
        <v>169</v>
      </c>
      <c r="B45" s="14" t="s">
        <v>1562</v>
      </c>
      <c r="C45" s="5" t="s">
        <v>62</v>
      </c>
      <c r="D45" s="5" t="s">
        <v>1556</v>
      </c>
      <c r="E45" s="16">
        <f>2183/5280</f>
        <v>0.4134469696969697</v>
      </c>
      <c r="F45" s="5" t="s">
        <v>1556</v>
      </c>
      <c r="G45" s="5" t="s">
        <v>435</v>
      </c>
      <c r="H45" s="14" t="s">
        <v>1611</v>
      </c>
    </row>
    <row r="46" spans="1:8" s="9" customFormat="1" x14ac:dyDescent="0.25">
      <c r="A46" s="3" t="s">
        <v>169</v>
      </c>
      <c r="B46" s="14" t="s">
        <v>436</v>
      </c>
      <c r="C46" s="9" t="s">
        <v>62</v>
      </c>
      <c r="D46" s="9" t="s">
        <v>88</v>
      </c>
      <c r="E46" s="15">
        <f>(2437+672+1002)/5280</f>
        <v>0.77859848484848482</v>
      </c>
      <c r="F46" s="9" t="s">
        <v>12</v>
      </c>
      <c r="G46" s="9" t="s">
        <v>437</v>
      </c>
      <c r="H46" s="11" t="s">
        <v>1612</v>
      </c>
    </row>
    <row r="47" spans="1:8" s="5" customFormat="1" x14ac:dyDescent="0.25">
      <c r="A47" s="17" t="s">
        <v>169</v>
      </c>
      <c r="B47" s="14" t="s">
        <v>1563</v>
      </c>
      <c r="C47" s="5" t="s">
        <v>62</v>
      </c>
      <c r="D47" s="5" t="s">
        <v>1556</v>
      </c>
      <c r="E47" s="16">
        <f>944/5280</f>
        <v>0.1787878787878788</v>
      </c>
      <c r="F47" s="5" t="s">
        <v>1556</v>
      </c>
      <c r="H47" s="14" t="s">
        <v>1611</v>
      </c>
    </row>
    <row r="48" spans="1:8" s="5" customFormat="1" x14ac:dyDescent="0.25">
      <c r="A48" s="17" t="s">
        <v>169</v>
      </c>
      <c r="B48" s="14" t="s">
        <v>1564</v>
      </c>
      <c r="C48" s="5" t="s">
        <v>62</v>
      </c>
      <c r="D48" s="5" t="s">
        <v>1556</v>
      </c>
      <c r="E48" s="16">
        <f>625/5280</f>
        <v>0.11837121212121213</v>
      </c>
      <c r="F48" s="5" t="s">
        <v>1556</v>
      </c>
      <c r="H48" s="14" t="s">
        <v>1611</v>
      </c>
    </row>
    <row r="49" spans="1:8" s="9" customFormat="1" x14ac:dyDescent="0.25">
      <c r="A49" s="3" t="s">
        <v>169</v>
      </c>
      <c r="B49" s="14" t="s">
        <v>439</v>
      </c>
      <c r="C49" s="9" t="s">
        <v>62</v>
      </c>
      <c r="D49" s="9" t="s">
        <v>88</v>
      </c>
      <c r="E49" s="15">
        <f>(1145+784)/5280</f>
        <v>0.36534090909090911</v>
      </c>
      <c r="F49" s="9" t="s">
        <v>12</v>
      </c>
      <c r="G49" s="9" t="s">
        <v>440</v>
      </c>
      <c r="H49" s="11" t="s">
        <v>1612</v>
      </c>
    </row>
    <row r="50" spans="1:8" s="9" customFormat="1" x14ac:dyDescent="0.25">
      <c r="A50" s="3" t="s">
        <v>169</v>
      </c>
      <c r="B50" s="14" t="s">
        <v>441</v>
      </c>
      <c r="C50" s="9" t="s">
        <v>62</v>
      </c>
      <c r="D50" s="9" t="s">
        <v>238</v>
      </c>
      <c r="E50" s="15">
        <f>200/5280</f>
        <v>3.787878787878788E-2</v>
      </c>
      <c r="F50" s="9" t="s">
        <v>244</v>
      </c>
      <c r="G50" s="9" t="s">
        <v>442</v>
      </c>
      <c r="H50" s="11" t="s">
        <v>1612</v>
      </c>
    </row>
    <row r="51" spans="1:8" s="9" customFormat="1" x14ac:dyDescent="0.25">
      <c r="A51" s="3" t="s">
        <v>169</v>
      </c>
      <c r="B51" s="14" t="s">
        <v>443</v>
      </c>
      <c r="C51" s="9" t="s">
        <v>62</v>
      </c>
      <c r="D51" s="9" t="s">
        <v>193</v>
      </c>
      <c r="E51" s="15">
        <f>497/5280</f>
        <v>9.4128787878787881E-2</v>
      </c>
      <c r="F51" s="9" t="s">
        <v>96</v>
      </c>
      <c r="G51" s="9" t="s">
        <v>444</v>
      </c>
      <c r="H51" s="11" t="s">
        <v>1612</v>
      </c>
    </row>
    <row r="52" spans="1:8" s="9" customFormat="1" x14ac:dyDescent="0.25">
      <c r="A52" s="3" t="s">
        <v>169</v>
      </c>
      <c r="B52" s="14" t="s">
        <v>438</v>
      </c>
      <c r="C52" s="9" t="s">
        <v>62</v>
      </c>
      <c r="D52" s="9" t="s">
        <v>193</v>
      </c>
      <c r="E52" s="16">
        <f>(838+1241)/5280</f>
        <v>0.39374999999999999</v>
      </c>
      <c r="F52" s="9" t="s">
        <v>202</v>
      </c>
      <c r="G52" s="9" t="s">
        <v>445</v>
      </c>
      <c r="H52" s="11" t="s">
        <v>1612</v>
      </c>
    </row>
    <row r="53" spans="1:8" s="9" customFormat="1" x14ac:dyDescent="0.25">
      <c r="A53" s="3" t="s">
        <v>169</v>
      </c>
      <c r="B53" s="14" t="s">
        <v>447</v>
      </c>
      <c r="C53" s="9" t="s">
        <v>62</v>
      </c>
      <c r="D53" s="9" t="s">
        <v>91</v>
      </c>
      <c r="E53" s="15">
        <f>410/5280</f>
        <v>7.7651515151515152E-2</v>
      </c>
      <c r="F53" s="9" t="s">
        <v>158</v>
      </c>
      <c r="G53" s="9" t="s">
        <v>446</v>
      </c>
      <c r="H53" s="11" t="s">
        <v>1612</v>
      </c>
    </row>
    <row r="54" spans="1:8" s="9" customFormat="1" x14ac:dyDescent="0.25">
      <c r="A54" s="3" t="s">
        <v>169</v>
      </c>
      <c r="B54" s="14" t="s">
        <v>448</v>
      </c>
      <c r="C54" s="9" t="s">
        <v>62</v>
      </c>
      <c r="D54" s="9" t="s">
        <v>91</v>
      </c>
      <c r="E54" s="15">
        <f>547/5280</f>
        <v>0.10359848484848484</v>
      </c>
      <c r="F54" s="9" t="s">
        <v>12</v>
      </c>
      <c r="G54" s="9" t="s">
        <v>449</v>
      </c>
      <c r="H54" s="11" t="s">
        <v>1612</v>
      </c>
    </row>
    <row r="55" spans="1:8" s="9" customFormat="1" x14ac:dyDescent="0.25">
      <c r="A55" s="3" t="s">
        <v>169</v>
      </c>
      <c r="B55" s="14" t="s">
        <v>450</v>
      </c>
      <c r="C55" s="9" t="s">
        <v>62</v>
      </c>
      <c r="D55" s="9" t="s">
        <v>176</v>
      </c>
      <c r="E55" s="15">
        <f>554/5280</f>
        <v>0.10492424242424242</v>
      </c>
      <c r="F55" s="9" t="s">
        <v>96</v>
      </c>
      <c r="G55" s="9" t="s">
        <v>451</v>
      </c>
      <c r="H55" s="11" t="s">
        <v>1612</v>
      </c>
    </row>
    <row r="56" spans="1:8" s="9" customFormat="1" x14ac:dyDescent="0.25">
      <c r="A56" s="3" t="s">
        <v>169</v>
      </c>
      <c r="B56" s="14" t="s">
        <v>452</v>
      </c>
      <c r="C56" s="9" t="s">
        <v>62</v>
      </c>
      <c r="D56" s="9" t="s">
        <v>453</v>
      </c>
      <c r="E56" s="4" t="s">
        <v>455</v>
      </c>
      <c r="F56" s="9" t="s">
        <v>454</v>
      </c>
      <c r="G56" s="9" t="s">
        <v>456</v>
      </c>
      <c r="H56" s="9" t="s">
        <v>1611</v>
      </c>
    </row>
    <row r="57" spans="1:8" s="9" customFormat="1" x14ac:dyDescent="0.25">
      <c r="A57" s="3" t="s">
        <v>169</v>
      </c>
      <c r="B57" s="9" t="s">
        <v>457</v>
      </c>
      <c r="C57" s="9" t="s">
        <v>62</v>
      </c>
      <c r="D57" s="9" t="s">
        <v>238</v>
      </c>
      <c r="E57" s="15">
        <f>150/5280</f>
        <v>2.8409090909090908E-2</v>
      </c>
      <c r="F57" s="5" t="s">
        <v>244</v>
      </c>
      <c r="G57" s="5" t="s">
        <v>459</v>
      </c>
      <c r="H57" s="11" t="s">
        <v>1612</v>
      </c>
    </row>
    <row r="58" spans="1:8" s="9" customFormat="1" x14ac:dyDescent="0.25">
      <c r="A58" s="3" t="s">
        <v>169</v>
      </c>
      <c r="B58" s="14" t="s">
        <v>458</v>
      </c>
      <c r="C58" s="9" t="s">
        <v>62</v>
      </c>
      <c r="D58" s="9" t="s">
        <v>461</v>
      </c>
      <c r="E58" s="15">
        <f>(2856+652+8954+2829+420+53+2199+54+978+1102)/5280</f>
        <v>3.8062499999999999</v>
      </c>
      <c r="F58" s="9" t="s">
        <v>244</v>
      </c>
      <c r="G58" s="9" t="s">
        <v>460</v>
      </c>
      <c r="H58" s="9" t="s">
        <v>462</v>
      </c>
    </row>
    <row r="59" spans="1:8" s="9" customFormat="1" x14ac:dyDescent="0.25">
      <c r="A59" s="3" t="s">
        <v>169</v>
      </c>
      <c r="B59" s="14" t="s">
        <v>463</v>
      </c>
      <c r="C59" s="9" t="s">
        <v>62</v>
      </c>
      <c r="D59" s="9" t="s">
        <v>464</v>
      </c>
      <c r="E59" s="15">
        <f>256/5280</f>
        <v>4.8484848484848485E-2</v>
      </c>
      <c r="F59" s="9" t="s">
        <v>202</v>
      </c>
      <c r="G59" s="9" t="s">
        <v>465</v>
      </c>
      <c r="H59" s="11" t="s">
        <v>1612</v>
      </c>
    </row>
    <row r="60" spans="1:8" s="5" customFormat="1" x14ac:dyDescent="0.25">
      <c r="A60" s="17" t="s">
        <v>169</v>
      </c>
      <c r="B60" s="14" t="s">
        <v>1565</v>
      </c>
      <c r="C60" s="5" t="s">
        <v>62</v>
      </c>
      <c r="D60" s="5" t="s">
        <v>118</v>
      </c>
      <c r="E60" s="16">
        <f>1957/5280</f>
        <v>0.37064393939393941</v>
      </c>
      <c r="F60" s="5" t="s">
        <v>75</v>
      </c>
      <c r="H60" s="5" t="s">
        <v>466</v>
      </c>
    </row>
    <row r="61" spans="1:8" s="9" customFormat="1" x14ac:dyDescent="0.25">
      <c r="A61" s="3" t="s">
        <v>169</v>
      </c>
      <c r="B61" s="14" t="s">
        <v>467</v>
      </c>
      <c r="C61" s="9" t="s">
        <v>62</v>
      </c>
      <c r="D61" s="9" t="s">
        <v>238</v>
      </c>
      <c r="E61" s="15">
        <f>801/5280</f>
        <v>0.15170454545454545</v>
      </c>
      <c r="F61" s="9" t="s">
        <v>244</v>
      </c>
      <c r="G61" s="9" t="s">
        <v>468</v>
      </c>
      <c r="H61" s="11" t="s">
        <v>1612</v>
      </c>
    </row>
    <row r="62" spans="1:8" s="9" customFormat="1" x14ac:dyDescent="0.25">
      <c r="A62" s="3" t="s">
        <v>169</v>
      </c>
      <c r="B62" s="14" t="s">
        <v>469</v>
      </c>
      <c r="C62" s="9" t="s">
        <v>62</v>
      </c>
      <c r="D62" s="9" t="s">
        <v>464</v>
      </c>
      <c r="E62" s="15">
        <f>1723/5280</f>
        <v>0.3263257575757576</v>
      </c>
      <c r="F62" s="9" t="s">
        <v>96</v>
      </c>
      <c r="G62" s="9" t="s">
        <v>470</v>
      </c>
      <c r="H62" s="11" t="s">
        <v>1612</v>
      </c>
    </row>
    <row r="63" spans="1:8" s="9" customFormat="1" x14ac:dyDescent="0.25">
      <c r="A63" s="3" t="s">
        <v>169</v>
      </c>
      <c r="B63" s="14" t="s">
        <v>472</v>
      </c>
      <c r="C63" s="9" t="s">
        <v>62</v>
      </c>
      <c r="D63" s="9" t="s">
        <v>176</v>
      </c>
      <c r="E63" s="15">
        <f>877/5280</f>
        <v>0.16609848484848486</v>
      </c>
      <c r="F63" s="9" t="s">
        <v>471</v>
      </c>
      <c r="H63" s="11" t="s">
        <v>1612</v>
      </c>
    </row>
    <row r="64" spans="1:8" s="9" customFormat="1" x14ac:dyDescent="0.25">
      <c r="A64" s="3" t="s">
        <v>169</v>
      </c>
      <c r="B64" s="14" t="s">
        <v>477</v>
      </c>
      <c r="C64" s="9" t="s">
        <v>62</v>
      </c>
      <c r="D64" s="9" t="s">
        <v>174</v>
      </c>
      <c r="E64" s="15">
        <f>305/5280</f>
        <v>5.7765151515151512E-2</v>
      </c>
      <c r="F64" s="9" t="s">
        <v>202</v>
      </c>
      <c r="H64" s="11" t="s">
        <v>1612</v>
      </c>
    </row>
    <row r="65" spans="1:8" s="9" customFormat="1" x14ac:dyDescent="0.25">
      <c r="A65" s="3" t="s">
        <v>169</v>
      </c>
      <c r="B65" s="14" t="s">
        <v>473</v>
      </c>
      <c r="C65" s="9" t="s">
        <v>62</v>
      </c>
      <c r="D65" s="9" t="s">
        <v>238</v>
      </c>
      <c r="E65" s="15">
        <f>2582/5280</f>
        <v>0.48901515151515151</v>
      </c>
      <c r="F65" s="9" t="s">
        <v>75</v>
      </c>
      <c r="G65" s="9" t="s">
        <v>478</v>
      </c>
      <c r="H65" s="11" t="s">
        <v>1612</v>
      </c>
    </row>
    <row r="66" spans="1:8" s="9" customFormat="1" x14ac:dyDescent="0.25">
      <c r="A66" s="3" t="s">
        <v>169</v>
      </c>
      <c r="B66" s="14" t="s">
        <v>474</v>
      </c>
      <c r="C66" s="9" t="s">
        <v>62</v>
      </c>
      <c r="D66" s="9" t="s">
        <v>88</v>
      </c>
      <c r="E66" s="15">
        <f>3418/5280</f>
        <v>0.64734848484848484</v>
      </c>
      <c r="F66" s="9" t="s">
        <v>12</v>
      </c>
      <c r="G66" s="9" t="s">
        <v>479</v>
      </c>
      <c r="H66" s="11" t="s">
        <v>1612</v>
      </c>
    </row>
    <row r="67" spans="1:8" s="9" customFormat="1" x14ac:dyDescent="0.25">
      <c r="A67" s="3" t="s">
        <v>169</v>
      </c>
      <c r="B67" s="14" t="s">
        <v>480</v>
      </c>
      <c r="C67" s="9" t="s">
        <v>62</v>
      </c>
      <c r="D67" s="9" t="s">
        <v>238</v>
      </c>
      <c r="E67" s="15">
        <f>567/5280</f>
        <v>0.10738636363636364</v>
      </c>
      <c r="F67" s="9" t="s">
        <v>481</v>
      </c>
      <c r="G67" s="9" t="s">
        <v>482</v>
      </c>
      <c r="H67" s="11" t="s">
        <v>1612</v>
      </c>
    </row>
    <row r="68" spans="1:8" s="9" customFormat="1" x14ac:dyDescent="0.25">
      <c r="A68" s="3" t="s">
        <v>169</v>
      </c>
      <c r="B68" s="14" t="s">
        <v>485</v>
      </c>
      <c r="C68" s="9" t="s">
        <v>62</v>
      </c>
      <c r="D68" s="9" t="s">
        <v>176</v>
      </c>
      <c r="E68" s="15">
        <f>809/5280</f>
        <v>0.15321969696969698</v>
      </c>
      <c r="F68" s="9" t="s">
        <v>12</v>
      </c>
      <c r="G68" s="9" t="s">
        <v>483</v>
      </c>
      <c r="H68" s="11" t="s">
        <v>1612</v>
      </c>
    </row>
    <row r="69" spans="1:8" s="9" customFormat="1" x14ac:dyDescent="0.25">
      <c r="A69" s="3" t="s">
        <v>169</v>
      </c>
      <c r="B69" s="14" t="s">
        <v>475</v>
      </c>
      <c r="C69" s="9" t="s">
        <v>62</v>
      </c>
      <c r="D69" s="9" t="s">
        <v>174</v>
      </c>
      <c r="E69" s="15">
        <f>(220+110+123)/5280</f>
        <v>8.579545454545455E-2</v>
      </c>
      <c r="F69" s="9" t="s">
        <v>158</v>
      </c>
      <c r="G69" s="9" t="s">
        <v>484</v>
      </c>
      <c r="H69" s="11" t="s">
        <v>1612</v>
      </c>
    </row>
    <row r="70" spans="1:8" s="9" customFormat="1" x14ac:dyDescent="0.25">
      <c r="A70" s="3" t="s">
        <v>169</v>
      </c>
      <c r="B70" s="14" t="s">
        <v>486</v>
      </c>
      <c r="C70" s="9" t="s">
        <v>62</v>
      </c>
      <c r="D70" s="9" t="s">
        <v>176</v>
      </c>
      <c r="E70" s="15">
        <f>(570+1277)/5280</f>
        <v>0.34981060606060604</v>
      </c>
      <c r="F70" s="9" t="s">
        <v>471</v>
      </c>
      <c r="H70" s="11" t="s">
        <v>1612</v>
      </c>
    </row>
    <row r="71" spans="1:8" s="9" customFormat="1" x14ac:dyDescent="0.25">
      <c r="A71" s="3" t="s">
        <v>169</v>
      </c>
      <c r="B71" s="14" t="s">
        <v>490</v>
      </c>
      <c r="C71" s="9" t="s">
        <v>62</v>
      </c>
      <c r="D71" s="9" t="s">
        <v>487</v>
      </c>
      <c r="E71" s="15">
        <f>688/5280</f>
        <v>0.13030303030303031</v>
      </c>
      <c r="F71" s="9" t="s">
        <v>202</v>
      </c>
      <c r="G71" s="9" t="s">
        <v>488</v>
      </c>
      <c r="H71" s="11" t="s">
        <v>1612</v>
      </c>
    </row>
    <row r="72" spans="1:8" s="9" customFormat="1" x14ac:dyDescent="0.25">
      <c r="A72" s="3" t="s">
        <v>169</v>
      </c>
      <c r="B72" s="14" t="s">
        <v>1566</v>
      </c>
      <c r="C72" s="9" t="s">
        <v>62</v>
      </c>
      <c r="D72" s="9" t="s">
        <v>487</v>
      </c>
      <c r="E72" s="15">
        <f>550/5280</f>
        <v>0.10416666666666667</v>
      </c>
      <c r="F72" s="5" t="s">
        <v>1556</v>
      </c>
      <c r="G72" s="9" t="s">
        <v>491</v>
      </c>
      <c r="H72" s="11" t="s">
        <v>1611</v>
      </c>
    </row>
    <row r="73" spans="1:8" s="9" customFormat="1" x14ac:dyDescent="0.25">
      <c r="A73" s="3" t="s">
        <v>169</v>
      </c>
      <c r="B73" s="14" t="s">
        <v>489</v>
      </c>
      <c r="C73" s="9" t="s">
        <v>62</v>
      </c>
      <c r="D73" s="9" t="s">
        <v>487</v>
      </c>
      <c r="E73" s="15">
        <f>838/5280</f>
        <v>0.15871212121212122</v>
      </c>
      <c r="F73" s="5" t="s">
        <v>158</v>
      </c>
      <c r="G73" s="5" t="s">
        <v>492</v>
      </c>
      <c r="H73" s="11" t="s">
        <v>1612</v>
      </c>
    </row>
    <row r="74" spans="1:8" s="9" customFormat="1" x14ac:dyDescent="0.25">
      <c r="A74" s="3" t="s">
        <v>169</v>
      </c>
      <c r="B74" s="14" t="s">
        <v>494</v>
      </c>
      <c r="C74" s="9" t="s">
        <v>62</v>
      </c>
      <c r="D74" s="9" t="s">
        <v>493</v>
      </c>
      <c r="E74" s="15">
        <f>(174+1706)/5280</f>
        <v>0.35606060606060608</v>
      </c>
      <c r="F74" s="5" t="s">
        <v>495</v>
      </c>
      <c r="G74" s="5" t="s">
        <v>496</v>
      </c>
      <c r="H74" s="11" t="s">
        <v>1612</v>
      </c>
    </row>
    <row r="75" spans="1:8" s="9" customFormat="1" x14ac:dyDescent="0.25">
      <c r="A75" s="3" t="s">
        <v>169</v>
      </c>
      <c r="B75" s="14" t="s">
        <v>497</v>
      </c>
      <c r="C75" s="9" t="s">
        <v>62</v>
      </c>
      <c r="D75" s="9" t="s">
        <v>402</v>
      </c>
      <c r="E75" s="15">
        <f>2108/5280</f>
        <v>0.39924242424242423</v>
      </c>
      <c r="F75" s="5" t="s">
        <v>498</v>
      </c>
      <c r="G75" s="5" t="s">
        <v>499</v>
      </c>
      <c r="H75" s="11" t="s">
        <v>1612</v>
      </c>
    </row>
    <row r="76" spans="1:8" s="9" customFormat="1" x14ac:dyDescent="0.25">
      <c r="A76" s="3" t="s">
        <v>169</v>
      </c>
      <c r="B76" s="14" t="s">
        <v>476</v>
      </c>
      <c r="C76" s="9" t="s">
        <v>62</v>
      </c>
      <c r="D76" s="9" t="s">
        <v>92</v>
      </c>
      <c r="E76" s="15">
        <f>(29721+539)/5280</f>
        <v>5.7310606060606064</v>
      </c>
      <c r="F76" s="5" t="s">
        <v>12</v>
      </c>
      <c r="G76" s="5" t="s">
        <v>500</v>
      </c>
      <c r="H76" s="11" t="s">
        <v>1612</v>
      </c>
    </row>
    <row r="77" spans="1:8" s="9" customFormat="1" x14ac:dyDescent="0.25">
      <c r="A77" s="3" t="s">
        <v>169</v>
      </c>
      <c r="B77" s="14" t="s">
        <v>84</v>
      </c>
      <c r="C77" s="9" t="s">
        <v>62</v>
      </c>
      <c r="D77" s="9" t="s">
        <v>88</v>
      </c>
      <c r="E77" s="15">
        <f>(2431-233)/5280</f>
        <v>0.41628787878787876</v>
      </c>
      <c r="F77" s="5" t="s">
        <v>12</v>
      </c>
      <c r="G77" s="5" t="s">
        <v>501</v>
      </c>
      <c r="H77" s="11" t="s">
        <v>1612</v>
      </c>
    </row>
    <row r="78" spans="1:8" s="9" customFormat="1" x14ac:dyDescent="0.25">
      <c r="A78" s="3" t="s">
        <v>169</v>
      </c>
      <c r="B78" s="14" t="s">
        <v>504</v>
      </c>
      <c r="C78" s="9" t="s">
        <v>62</v>
      </c>
      <c r="D78" s="9" t="s">
        <v>118</v>
      </c>
      <c r="E78" s="15">
        <f>(19681+944+5752+1050+589+3300+3439+4200+421)/5280</f>
        <v>7.457575757575758</v>
      </c>
      <c r="F78" s="5" t="s">
        <v>75</v>
      </c>
      <c r="G78" s="5" t="s">
        <v>506</v>
      </c>
      <c r="H78" s="11" t="s">
        <v>1612</v>
      </c>
    </row>
    <row r="79" spans="1:8" s="5" customFormat="1" x14ac:dyDescent="0.25">
      <c r="A79" s="17" t="s">
        <v>169</v>
      </c>
      <c r="B79" s="14" t="s">
        <v>1568</v>
      </c>
      <c r="C79" s="5" t="s">
        <v>62</v>
      </c>
      <c r="D79" s="5" t="s">
        <v>502</v>
      </c>
      <c r="E79" s="16">
        <f>(262-55)/5280</f>
        <v>3.9204545454545457E-2</v>
      </c>
      <c r="F79" s="5" t="s">
        <v>1556</v>
      </c>
      <c r="G79" s="5" t="s">
        <v>506</v>
      </c>
      <c r="H79" s="14" t="s">
        <v>1611</v>
      </c>
    </row>
    <row r="80" spans="1:8" s="9" customFormat="1" x14ac:dyDescent="0.25">
      <c r="A80" s="3" t="s">
        <v>169</v>
      </c>
      <c r="B80" s="14" t="s">
        <v>505</v>
      </c>
      <c r="C80" s="9" t="s">
        <v>62</v>
      </c>
      <c r="D80" s="9" t="s">
        <v>502</v>
      </c>
      <c r="E80" s="15">
        <f>1808/5280</f>
        <v>0.34242424242424241</v>
      </c>
      <c r="F80" s="5" t="s">
        <v>96</v>
      </c>
      <c r="G80" s="5" t="s">
        <v>507</v>
      </c>
      <c r="H80" s="11" t="s">
        <v>1612</v>
      </c>
    </row>
    <row r="81" spans="1:8" s="9" customFormat="1" x14ac:dyDescent="0.25">
      <c r="A81" s="3" t="s">
        <v>169</v>
      </c>
      <c r="B81" s="14" t="s">
        <v>508</v>
      </c>
      <c r="C81" s="9" t="s">
        <v>62</v>
      </c>
      <c r="D81" s="9" t="s">
        <v>502</v>
      </c>
      <c r="E81" s="15">
        <f>3491/5280</f>
        <v>0.66117424242424239</v>
      </c>
      <c r="F81" s="5" t="s">
        <v>96</v>
      </c>
      <c r="G81" s="5" t="s">
        <v>511</v>
      </c>
      <c r="H81" s="11" t="s">
        <v>1612</v>
      </c>
    </row>
    <row r="82" spans="1:8" s="3" customFormat="1" x14ac:dyDescent="0.25">
      <c r="A82" s="3" t="s">
        <v>169</v>
      </c>
      <c r="B82" s="3" t="s">
        <v>509</v>
      </c>
      <c r="C82" s="9" t="s">
        <v>62</v>
      </c>
      <c r="D82" s="3" t="s">
        <v>502</v>
      </c>
      <c r="E82" s="15">
        <f>2121/5280</f>
        <v>0.40170454545454548</v>
      </c>
      <c r="F82" s="3" t="s">
        <v>96</v>
      </c>
      <c r="G82" s="3" t="s">
        <v>510</v>
      </c>
      <c r="H82" s="11" t="s">
        <v>1612</v>
      </c>
    </row>
    <row r="83" spans="1:8" s="9" customFormat="1" x14ac:dyDescent="0.25">
      <c r="A83" s="3" t="s">
        <v>169</v>
      </c>
      <c r="B83" s="14" t="s">
        <v>516</v>
      </c>
      <c r="C83" s="9" t="s">
        <v>62</v>
      </c>
      <c r="D83" s="14" t="s">
        <v>512</v>
      </c>
      <c r="E83" s="15">
        <f>356/5280</f>
        <v>6.7424242424242428E-2</v>
      </c>
      <c r="F83" s="5" t="s">
        <v>244</v>
      </c>
      <c r="G83" s="5" t="s">
        <v>513</v>
      </c>
      <c r="H83" s="11" t="s">
        <v>1612</v>
      </c>
    </row>
    <row r="84" spans="1:8" s="9" customFormat="1" x14ac:dyDescent="0.25">
      <c r="A84" s="3" t="s">
        <v>169</v>
      </c>
      <c r="B84" s="14" t="s">
        <v>517</v>
      </c>
      <c r="C84" s="9" t="s">
        <v>62</v>
      </c>
      <c r="D84" s="9" t="s">
        <v>502</v>
      </c>
      <c r="E84" s="15">
        <f>102/5280</f>
        <v>1.9318181818181818E-2</v>
      </c>
      <c r="F84" s="5" t="s">
        <v>514</v>
      </c>
      <c r="G84" s="5" t="s">
        <v>515</v>
      </c>
      <c r="H84" s="11" t="s">
        <v>1612</v>
      </c>
    </row>
    <row r="85" spans="1:8" s="9" customFormat="1" x14ac:dyDescent="0.25">
      <c r="A85" s="3" t="s">
        <v>169</v>
      </c>
      <c r="B85" s="14" t="s">
        <v>518</v>
      </c>
      <c r="C85" s="9" t="s">
        <v>62</v>
      </c>
      <c r="D85" s="9" t="s">
        <v>519</v>
      </c>
      <c r="E85" s="15">
        <f>2684/5280</f>
        <v>0.5083333333333333</v>
      </c>
      <c r="F85" s="5" t="s">
        <v>75</v>
      </c>
      <c r="H85" s="11" t="s">
        <v>1612</v>
      </c>
    </row>
    <row r="86" spans="1:8" s="5" customFormat="1" x14ac:dyDescent="0.25">
      <c r="A86" s="17" t="s">
        <v>169</v>
      </c>
      <c r="B86" s="14" t="s">
        <v>1567</v>
      </c>
      <c r="C86" s="5" t="s">
        <v>62</v>
      </c>
      <c r="D86" s="5" t="s">
        <v>88</v>
      </c>
      <c r="E86" s="16">
        <f>734/5280</f>
        <v>0.13901515151515151</v>
      </c>
      <c r="F86" s="5" t="s">
        <v>1556</v>
      </c>
      <c r="G86" s="5" t="s">
        <v>520</v>
      </c>
      <c r="H86" s="14" t="s">
        <v>1611</v>
      </c>
    </row>
    <row r="87" spans="1:8" s="5" customFormat="1" x14ac:dyDescent="0.25">
      <c r="A87" s="17" t="s">
        <v>169</v>
      </c>
      <c r="B87" s="14" t="s">
        <v>522</v>
      </c>
      <c r="C87" s="5" t="s">
        <v>62</v>
      </c>
      <c r="D87" s="5" t="s">
        <v>521</v>
      </c>
      <c r="E87" s="16">
        <f>(2705-103)/5280</f>
        <v>0.4928030303030303</v>
      </c>
      <c r="F87" s="5" t="s">
        <v>1556</v>
      </c>
      <c r="G87" s="5" t="s">
        <v>523</v>
      </c>
      <c r="H87" s="14" t="s">
        <v>1611</v>
      </c>
    </row>
    <row r="88" spans="1:8" s="9" customFormat="1" x14ac:dyDescent="0.25">
      <c r="A88" s="3" t="s">
        <v>169</v>
      </c>
      <c r="B88" s="14" t="s">
        <v>503</v>
      </c>
      <c r="C88" s="9" t="s">
        <v>62</v>
      </c>
      <c r="D88" s="9" t="s">
        <v>238</v>
      </c>
      <c r="E88" s="15">
        <f>2123/5280</f>
        <v>0.40208333333333335</v>
      </c>
      <c r="F88" s="5" t="s">
        <v>75</v>
      </c>
      <c r="G88" s="5" t="s">
        <v>524</v>
      </c>
      <c r="H88" s="11" t="s">
        <v>1612</v>
      </c>
    </row>
    <row r="89" spans="1:8" s="9" customFormat="1" x14ac:dyDescent="0.25">
      <c r="A89" s="3"/>
      <c r="E89" s="4"/>
    </row>
    <row r="90" spans="1:8" s="9" customFormat="1" x14ac:dyDescent="0.25">
      <c r="D90" s="29" t="s">
        <v>329</v>
      </c>
      <c r="E90" s="18">
        <f>SUM(E2:E88)</f>
        <v>60.98579545454546</v>
      </c>
    </row>
    <row r="91" spans="1:8" x14ac:dyDescent="0.25">
      <c r="E91" s="37">
        <f>E90/134.98</f>
        <v>0.45181356834009084</v>
      </c>
    </row>
    <row r="93" spans="1:8" x14ac:dyDescent="0.25">
      <c r="A93" s="43" t="s">
        <v>1598</v>
      </c>
      <c r="B93" s="43" t="s">
        <v>1602</v>
      </c>
    </row>
    <row r="94" spans="1:8" x14ac:dyDescent="0.25">
      <c r="A94" s="43"/>
      <c r="B94" s="43" t="s">
        <v>1604</v>
      </c>
      <c r="D94" s="9"/>
      <c r="E94" s="15"/>
    </row>
    <row r="95" spans="1:8" x14ac:dyDescent="0.25">
      <c r="A95" s="43"/>
      <c r="B95" s="43" t="s">
        <v>1605</v>
      </c>
      <c r="D95" s="9"/>
      <c r="E95" s="15"/>
    </row>
    <row r="96" spans="1:8" x14ac:dyDescent="0.25">
      <c r="B96" s="43" t="s">
        <v>1609</v>
      </c>
      <c r="D96" s="6"/>
      <c r="E96" s="15"/>
    </row>
    <row r="97" spans="2:5" x14ac:dyDescent="0.25">
      <c r="B97" s="43" t="s">
        <v>1614</v>
      </c>
      <c r="D97" s="9"/>
      <c r="E97" s="15"/>
    </row>
    <row r="98" spans="2:5" x14ac:dyDescent="0.25">
      <c r="D98" s="9"/>
      <c r="E98" s="15"/>
    </row>
    <row r="99" spans="2:5" x14ac:dyDescent="0.25">
      <c r="D99" s="9"/>
      <c r="E99" s="15"/>
    </row>
    <row r="100" spans="2:5" x14ac:dyDescent="0.25">
      <c r="D100" s="9"/>
      <c r="E100" s="15"/>
    </row>
    <row r="101" spans="2:5" x14ac:dyDescent="0.25">
      <c r="D101" s="9"/>
      <c r="E101" s="15"/>
    </row>
    <row r="102" spans="2:5" x14ac:dyDescent="0.25">
      <c r="D102" s="5"/>
      <c r="E102" s="15"/>
    </row>
    <row r="103" spans="2:5" x14ac:dyDescent="0.25">
      <c r="D103" s="9"/>
      <c r="E103" s="15"/>
    </row>
    <row r="104" spans="2:5" x14ac:dyDescent="0.25">
      <c r="D104" s="9"/>
      <c r="E104" s="15"/>
    </row>
    <row r="105" spans="2:5" x14ac:dyDescent="0.25">
      <c r="D105" s="9"/>
      <c r="E105" s="15"/>
    </row>
    <row r="106" spans="2:5" x14ac:dyDescent="0.25">
      <c r="D106" s="9"/>
      <c r="E106" s="15"/>
    </row>
    <row r="107" spans="2:5" x14ac:dyDescent="0.25">
      <c r="D107" s="6"/>
      <c r="E107" s="16"/>
    </row>
    <row r="108" spans="2:5" x14ac:dyDescent="0.25">
      <c r="D108" s="9"/>
      <c r="E108" s="15"/>
    </row>
    <row r="109" spans="2:5" x14ac:dyDescent="0.25">
      <c r="D109" s="9"/>
      <c r="E109" s="15"/>
    </row>
    <row r="110" spans="2:5" x14ac:dyDescent="0.25">
      <c r="D110" s="9"/>
      <c r="E110" s="15"/>
    </row>
    <row r="111" spans="2:5" x14ac:dyDescent="0.25">
      <c r="D111" s="9"/>
      <c r="E111" s="15"/>
    </row>
    <row r="112" spans="2:5" x14ac:dyDescent="0.25">
      <c r="D112" s="9"/>
      <c r="E112" s="15"/>
    </row>
    <row r="113" spans="4:6" x14ac:dyDescent="0.25">
      <c r="D113" s="9"/>
      <c r="E113" s="15"/>
    </row>
    <row r="114" spans="4:6" x14ac:dyDescent="0.25">
      <c r="D114" s="9"/>
      <c r="E114" s="15"/>
    </row>
    <row r="115" spans="4:6" x14ac:dyDescent="0.25">
      <c r="D115" s="9"/>
      <c r="E115" s="15"/>
    </row>
    <row r="116" spans="4:6" x14ac:dyDescent="0.25">
      <c r="D116" s="9"/>
      <c r="E116" s="15"/>
      <c r="F116" s="38"/>
    </row>
    <row r="117" spans="4:6" x14ac:dyDescent="0.25">
      <c r="D117" s="9"/>
      <c r="E117" s="4"/>
    </row>
    <row r="118" spans="4:6" x14ac:dyDescent="0.25">
      <c r="D118" s="9"/>
      <c r="E118" s="15"/>
    </row>
    <row r="119" spans="4:6" x14ac:dyDescent="0.25">
      <c r="D119" s="9"/>
      <c r="E119" s="15"/>
    </row>
    <row r="120" spans="4:6" x14ac:dyDescent="0.25">
      <c r="D120" s="9"/>
      <c r="E120" s="15"/>
    </row>
    <row r="121" spans="4:6" x14ac:dyDescent="0.25">
      <c r="D121" s="9"/>
      <c r="E121" s="15"/>
    </row>
    <row r="122" spans="4:6" x14ac:dyDescent="0.25">
      <c r="D122" s="9"/>
      <c r="E122" s="15"/>
    </row>
    <row r="123" spans="4:6" x14ac:dyDescent="0.25">
      <c r="D123" s="9"/>
      <c r="E123" s="15"/>
    </row>
    <row r="124" spans="4:6" x14ac:dyDescent="0.25">
      <c r="D124" s="9"/>
      <c r="E124" s="15"/>
    </row>
    <row r="125" spans="4:6" x14ac:dyDescent="0.25">
      <c r="D125" s="9"/>
      <c r="E125" s="15"/>
      <c r="F125" s="39"/>
    </row>
    <row r="126" spans="4:6" x14ac:dyDescent="0.25">
      <c r="D126" s="9"/>
      <c r="E126" s="15"/>
    </row>
    <row r="127" spans="4:6" x14ac:dyDescent="0.25">
      <c r="D127" s="9"/>
      <c r="E127" s="15"/>
    </row>
    <row r="128" spans="4:6" x14ac:dyDescent="0.25">
      <c r="D128" s="5"/>
      <c r="E128" s="15"/>
    </row>
    <row r="129" spans="4:6" x14ac:dyDescent="0.25">
      <c r="D129" s="5"/>
      <c r="E129" s="15"/>
    </row>
    <row r="130" spans="4:6" x14ac:dyDescent="0.25">
      <c r="D130" s="9"/>
      <c r="E130" s="15"/>
    </row>
    <row r="131" spans="4:6" x14ac:dyDescent="0.25">
      <c r="D131" s="9"/>
      <c r="E131" s="15"/>
    </row>
    <row r="132" spans="4:6" x14ac:dyDescent="0.25">
      <c r="D132" s="9"/>
      <c r="E132" s="15"/>
    </row>
    <row r="133" spans="4:6" x14ac:dyDescent="0.25">
      <c r="D133" s="9"/>
      <c r="E133" s="15"/>
    </row>
    <row r="134" spans="4:6" x14ac:dyDescent="0.25">
      <c r="D134" s="9"/>
      <c r="E134" s="15"/>
      <c r="F134" s="39"/>
    </row>
    <row r="135" spans="4:6" x14ac:dyDescent="0.25">
      <c r="D135" s="14"/>
      <c r="E135" s="15"/>
    </row>
    <row r="136" spans="4:6" x14ac:dyDescent="0.25">
      <c r="D136" s="9"/>
      <c r="E136" s="15"/>
    </row>
    <row r="137" spans="4:6" x14ac:dyDescent="0.25">
      <c r="D137" s="9"/>
      <c r="E137" s="15"/>
      <c r="F137" s="39"/>
    </row>
    <row r="138" spans="4:6" x14ac:dyDescent="0.25">
      <c r="D138" s="9"/>
      <c r="E138" s="15"/>
    </row>
    <row r="139" spans="4:6" x14ac:dyDescent="0.25">
      <c r="D139" s="5"/>
      <c r="E139" s="15"/>
    </row>
    <row r="140" spans="4:6" x14ac:dyDescent="0.25">
      <c r="D140" s="9"/>
      <c r="E140" s="15"/>
    </row>
    <row r="141" spans="4:6" x14ac:dyDescent="0.25">
      <c r="D141" s="9"/>
      <c r="E141" s="15"/>
    </row>
    <row r="142" spans="4:6" x14ac:dyDescent="0.25">
      <c r="D142" s="9"/>
      <c r="E142" s="15"/>
    </row>
    <row r="143" spans="4:6" x14ac:dyDescent="0.25">
      <c r="D143" s="9"/>
      <c r="E143" s="15"/>
    </row>
    <row r="144" spans="4:6" x14ac:dyDescent="0.25">
      <c r="D144" s="9"/>
      <c r="E144" s="15"/>
    </row>
    <row r="145" spans="4:6" x14ac:dyDescent="0.25">
      <c r="D145" s="9"/>
      <c r="E145" s="15"/>
    </row>
    <row r="146" spans="4:6" x14ac:dyDescent="0.25">
      <c r="D146" s="9"/>
      <c r="E146" s="15"/>
    </row>
    <row r="147" spans="4:6" x14ac:dyDescent="0.25">
      <c r="D147" s="9"/>
      <c r="E147" s="15"/>
    </row>
    <row r="148" spans="4:6" x14ac:dyDescent="0.25">
      <c r="D148" s="9"/>
      <c r="E148" s="15"/>
    </row>
    <row r="149" spans="4:6" x14ac:dyDescent="0.25">
      <c r="D149" s="9"/>
      <c r="E149" s="15"/>
    </row>
    <row r="150" spans="4:6" x14ac:dyDescent="0.25">
      <c r="D150" s="6"/>
      <c r="E150" s="15"/>
    </row>
    <row r="151" spans="4:6" x14ac:dyDescent="0.25">
      <c r="D151" s="9"/>
      <c r="E151" s="15"/>
      <c r="F151" s="39"/>
    </row>
    <row r="152" spans="4:6" x14ac:dyDescent="0.25">
      <c r="D152" s="9"/>
      <c r="E152" s="15"/>
    </row>
    <row r="153" spans="4:6" x14ac:dyDescent="0.25">
      <c r="D153" s="9"/>
      <c r="E153" s="16"/>
    </row>
    <row r="154" spans="4:6" x14ac:dyDescent="0.25">
      <c r="D154" s="9"/>
      <c r="E154" s="15"/>
    </row>
    <row r="155" spans="4:6" x14ac:dyDescent="0.25">
      <c r="D155" s="9"/>
      <c r="E155" s="15"/>
    </row>
    <row r="156" spans="4:6" x14ac:dyDescent="0.25">
      <c r="D156" s="9"/>
      <c r="E156" s="15"/>
    </row>
    <row r="157" spans="4:6" x14ac:dyDescent="0.25">
      <c r="D157" s="3"/>
      <c r="E157" s="15"/>
    </row>
    <row r="158" spans="4:6" x14ac:dyDescent="0.25">
      <c r="D158" s="9"/>
      <c r="E158" s="15"/>
    </row>
    <row r="159" spans="4:6" x14ac:dyDescent="0.25">
      <c r="D159" s="9"/>
      <c r="E159" s="15"/>
      <c r="F159" s="39"/>
    </row>
    <row r="160" spans="4:6" x14ac:dyDescent="0.25">
      <c r="D160" s="9"/>
      <c r="E160" s="15"/>
      <c r="F160" s="39"/>
    </row>
    <row r="161" spans="4:6" x14ac:dyDescent="0.25">
      <c r="D161" s="5"/>
      <c r="E161" s="15"/>
      <c r="F161" s="39"/>
    </row>
    <row r="162" spans="4:6" x14ac:dyDescent="0.25">
      <c r="D162" s="9"/>
      <c r="E162" s="15"/>
      <c r="F162" s="39"/>
    </row>
    <row r="163" spans="4:6" x14ac:dyDescent="0.25">
      <c r="D163" s="9"/>
      <c r="E163" s="15"/>
      <c r="F163" s="39"/>
    </row>
    <row r="164" spans="4:6" x14ac:dyDescent="0.25">
      <c r="D164" s="9"/>
      <c r="E164" s="15"/>
      <c r="F164" s="39"/>
    </row>
    <row r="165" spans="4:6" x14ac:dyDescent="0.25">
      <c r="D165" s="9"/>
      <c r="E165" s="15"/>
      <c r="F165" s="39"/>
    </row>
    <row r="166" spans="4:6" x14ac:dyDescent="0.25">
      <c r="D166" s="9"/>
      <c r="E166" s="15"/>
      <c r="F166" s="39"/>
    </row>
    <row r="167" spans="4:6" x14ac:dyDescent="0.25">
      <c r="D167" s="9"/>
      <c r="E167" s="15"/>
      <c r="F167" s="39"/>
    </row>
    <row r="168" spans="4:6" x14ac:dyDescent="0.25">
      <c r="D168" s="6"/>
      <c r="E168" s="15"/>
    </row>
    <row r="169" spans="4:6" x14ac:dyDescent="0.25">
      <c r="D169" s="6"/>
      <c r="E169" s="15"/>
    </row>
    <row r="170" spans="4:6" x14ac:dyDescent="0.25">
      <c r="D170" s="6"/>
      <c r="E170" s="15"/>
    </row>
    <row r="171" spans="4:6" x14ac:dyDescent="0.25">
      <c r="D171" s="6"/>
      <c r="E171" s="15"/>
    </row>
    <row r="172" spans="4:6" x14ac:dyDescent="0.25">
      <c r="D172" s="6"/>
      <c r="E172" s="15"/>
    </row>
    <row r="173" spans="4:6" x14ac:dyDescent="0.25">
      <c r="D173" s="6"/>
      <c r="E173" s="15"/>
    </row>
    <row r="174" spans="4:6" x14ac:dyDescent="0.25">
      <c r="D174" s="6"/>
      <c r="E174" s="15"/>
    </row>
    <row r="175" spans="4:6" x14ac:dyDescent="0.25">
      <c r="D175" s="6"/>
      <c r="E175" s="15"/>
    </row>
    <row r="176" spans="4:6" x14ac:dyDescent="0.25">
      <c r="D176" s="9"/>
      <c r="E176" s="15"/>
    </row>
    <row r="177" spans="4:5" x14ac:dyDescent="0.25">
      <c r="D177" s="9"/>
      <c r="E177" s="15"/>
    </row>
    <row r="178" spans="4:5" x14ac:dyDescent="0.25">
      <c r="D178" s="9"/>
      <c r="E178" s="15"/>
    </row>
    <row r="179" spans="4:5" x14ac:dyDescent="0.25">
      <c r="D179" s="9"/>
      <c r="E179" s="15"/>
    </row>
    <row r="180" spans="4:5" x14ac:dyDescent="0.25">
      <c r="D180" s="9"/>
      <c r="E180" s="15"/>
    </row>
  </sheetData>
  <sortState ref="D96:E182">
    <sortCondition ref="D96:D182"/>
  </sortState>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workbookViewId="0">
      <selection activeCell="M6" sqref="M6"/>
    </sheetView>
  </sheetViews>
  <sheetFormatPr defaultRowHeight="15" x14ac:dyDescent="0.25"/>
  <cols>
    <col min="1" max="1" width="12.42578125" customWidth="1"/>
    <col min="2" max="2" width="14" customWidth="1"/>
    <col min="3" max="3" width="15.7109375" customWidth="1"/>
    <col min="4" max="4" width="3.140625" customWidth="1"/>
    <col min="5" max="5" width="18.140625" customWidth="1"/>
    <col min="6" max="6" width="13.28515625" customWidth="1"/>
    <col min="7" max="7" width="3.5703125" customWidth="1"/>
    <col min="8" max="8" width="14.140625" customWidth="1"/>
    <col min="9" max="9" width="14" customWidth="1"/>
  </cols>
  <sheetData>
    <row r="1" spans="1:11" s="1" customFormat="1" ht="75" customHeight="1" x14ac:dyDescent="0.25">
      <c r="A1" s="1" t="s">
        <v>0</v>
      </c>
      <c r="B1" s="1" t="s">
        <v>2</v>
      </c>
      <c r="C1" s="2" t="s">
        <v>1521</v>
      </c>
      <c r="D1" s="2"/>
      <c r="E1" s="2" t="s">
        <v>1513</v>
      </c>
      <c r="F1" s="2" t="s">
        <v>1514</v>
      </c>
      <c r="G1" s="2"/>
      <c r="H1" s="2" t="s">
        <v>1512</v>
      </c>
      <c r="I1" s="2" t="s">
        <v>1515</v>
      </c>
      <c r="J1" s="44" t="s">
        <v>1516</v>
      </c>
      <c r="K1" s="44"/>
    </row>
    <row r="2" spans="1:11" x14ac:dyDescent="0.25">
      <c r="A2" t="s">
        <v>7</v>
      </c>
      <c r="B2" t="s">
        <v>26</v>
      </c>
      <c r="C2" s="31">
        <v>3.83</v>
      </c>
      <c r="D2" s="31"/>
      <c r="E2" s="36">
        <f t="shared" ref="E2:E4" si="0">C2/F2</f>
        <v>0.56067428191194413</v>
      </c>
      <c r="F2" s="31">
        <v>6.8310606060606061</v>
      </c>
      <c r="G2" s="31"/>
      <c r="H2" s="36">
        <f>C2/I2</f>
        <v>7.8259092766653049E-2</v>
      </c>
      <c r="I2" s="34">
        <v>48.94</v>
      </c>
      <c r="J2" s="46">
        <f>SUM(C2:C4)</f>
        <v>13.9</v>
      </c>
      <c r="K2" s="48">
        <f>J2/I2</f>
        <v>0.2840212505108296</v>
      </c>
    </row>
    <row r="3" spans="1:11" x14ac:dyDescent="0.25">
      <c r="B3" t="s">
        <v>28</v>
      </c>
      <c r="C3" s="31">
        <v>4.82</v>
      </c>
      <c r="D3" s="31"/>
      <c r="E3" s="36">
        <f t="shared" si="0"/>
        <v>0.2806064281382657</v>
      </c>
      <c r="F3" s="31">
        <v>17.177083333333329</v>
      </c>
      <c r="G3" s="31"/>
      <c r="H3" s="36">
        <f>C3/I2</f>
        <v>9.8487944421740914E-2</v>
      </c>
      <c r="I3" s="34"/>
      <c r="J3" s="46"/>
      <c r="K3" s="48"/>
    </row>
    <row r="4" spans="1:11" x14ac:dyDescent="0.25">
      <c r="B4" t="s">
        <v>76</v>
      </c>
      <c r="C4" s="31">
        <v>5.25</v>
      </c>
      <c r="D4" s="31"/>
      <c r="E4" s="36">
        <f t="shared" si="0"/>
        <v>0.21108099052724555</v>
      </c>
      <c r="F4" s="31">
        <v>24.871969696969703</v>
      </c>
      <c r="G4" s="31"/>
      <c r="H4" s="36">
        <f>C4/I2</f>
        <v>0.10727421332243564</v>
      </c>
      <c r="I4" s="34"/>
      <c r="J4" s="46"/>
      <c r="K4" s="48"/>
    </row>
    <row r="5" spans="1:11" x14ac:dyDescent="0.25">
      <c r="C5" s="31"/>
      <c r="D5" s="31"/>
      <c r="E5" s="34"/>
      <c r="F5" s="34"/>
      <c r="G5" s="34"/>
      <c r="H5" s="34"/>
      <c r="I5" s="34"/>
      <c r="J5" s="32"/>
      <c r="K5" s="32"/>
    </row>
    <row r="6" spans="1:11" x14ac:dyDescent="0.25">
      <c r="A6" t="s">
        <v>8</v>
      </c>
      <c r="B6" t="s">
        <v>333</v>
      </c>
      <c r="C6" s="31">
        <v>5.1100000000000003</v>
      </c>
      <c r="D6" s="31"/>
      <c r="E6" s="36">
        <f>C6/F6</f>
        <v>0.53340292275574119</v>
      </c>
      <c r="F6" s="34">
        <v>9.58</v>
      </c>
      <c r="G6" s="34"/>
      <c r="H6" s="36">
        <f>C6/I6</f>
        <v>0.53340292275574119</v>
      </c>
      <c r="I6" s="34">
        <v>9.58</v>
      </c>
      <c r="J6" s="45">
        <f>C6</f>
        <v>5.1100000000000003</v>
      </c>
      <c r="K6" s="47">
        <f>J6/I6</f>
        <v>0.53340292275574119</v>
      </c>
    </row>
    <row r="7" spans="1:11" x14ac:dyDescent="0.25">
      <c r="C7" s="31"/>
      <c r="D7" s="31"/>
      <c r="E7" s="34"/>
      <c r="F7" s="34"/>
      <c r="G7" s="34"/>
      <c r="H7" s="34"/>
      <c r="I7" s="34"/>
      <c r="J7" s="32"/>
      <c r="K7" s="32"/>
    </row>
    <row r="8" spans="1:11" x14ac:dyDescent="0.25">
      <c r="A8" t="s">
        <v>9</v>
      </c>
      <c r="B8" t="s">
        <v>36</v>
      </c>
      <c r="C8" s="31">
        <v>20.5</v>
      </c>
      <c r="D8" s="31"/>
      <c r="E8" s="34"/>
      <c r="F8" s="34"/>
      <c r="G8" s="34"/>
      <c r="H8" s="34"/>
      <c r="I8" s="40">
        <v>729.94</v>
      </c>
      <c r="J8" s="46">
        <f>SUM(C8:C15)</f>
        <v>217.48</v>
      </c>
      <c r="K8" s="48">
        <f>J8/I8</f>
        <v>0.29794229662712002</v>
      </c>
    </row>
    <row r="9" spans="1:11" x14ac:dyDescent="0.25">
      <c r="B9" t="s">
        <v>62</v>
      </c>
      <c r="C9" s="31">
        <v>8.35</v>
      </c>
      <c r="D9" s="31"/>
      <c r="E9" s="34"/>
      <c r="F9" s="34"/>
      <c r="G9" s="34"/>
      <c r="H9" s="34"/>
      <c r="I9" s="34"/>
      <c r="J9" s="46"/>
      <c r="K9" s="48"/>
    </row>
    <row r="10" spans="1:11" x14ac:dyDescent="0.25">
      <c r="B10" t="s">
        <v>43</v>
      </c>
      <c r="C10" s="31">
        <f>1.26+9.98+4.1</f>
        <v>15.34</v>
      </c>
      <c r="D10" s="31"/>
      <c r="E10" s="34"/>
      <c r="F10" s="34"/>
      <c r="G10" s="34"/>
      <c r="H10" s="34"/>
      <c r="I10" s="34"/>
      <c r="J10" s="46"/>
      <c r="K10" s="48"/>
    </row>
    <row r="11" spans="1:11" x14ac:dyDescent="0.25">
      <c r="B11" t="s">
        <v>31</v>
      </c>
      <c r="C11" s="31">
        <v>0.38</v>
      </c>
      <c r="D11" s="31"/>
      <c r="E11" s="34"/>
      <c r="F11" s="34"/>
      <c r="G11" s="34"/>
      <c r="H11" s="34"/>
      <c r="I11" s="34"/>
      <c r="J11" s="46"/>
      <c r="K11" s="48"/>
    </row>
    <row r="12" spans="1:11" x14ac:dyDescent="0.25">
      <c r="B12" t="s">
        <v>54</v>
      </c>
      <c r="C12" s="31">
        <v>103.5</v>
      </c>
      <c r="D12" s="31"/>
      <c r="E12" s="34"/>
      <c r="F12" s="34"/>
      <c r="G12" s="34"/>
      <c r="H12" s="34"/>
      <c r="I12" s="34"/>
      <c r="J12" s="46"/>
      <c r="K12" s="48"/>
    </row>
    <row r="13" spans="1:11" x14ac:dyDescent="0.25">
      <c r="B13" t="s">
        <v>1182</v>
      </c>
      <c r="C13" s="31">
        <v>14.12</v>
      </c>
      <c r="D13" s="31"/>
      <c r="E13" s="34"/>
      <c r="F13" s="34"/>
      <c r="G13" s="34"/>
      <c r="H13" s="34"/>
      <c r="I13" s="34"/>
      <c r="J13" s="46"/>
      <c r="K13" s="48"/>
    </row>
    <row r="14" spans="1:11" x14ac:dyDescent="0.25">
      <c r="B14" t="s">
        <v>1231</v>
      </c>
      <c r="C14" s="31">
        <v>27.64</v>
      </c>
      <c r="D14" s="31"/>
      <c r="E14" s="34"/>
      <c r="F14" s="34"/>
      <c r="G14" s="34"/>
      <c r="H14" s="34"/>
      <c r="I14" s="34"/>
      <c r="J14" s="46"/>
      <c r="K14" s="48"/>
    </row>
    <row r="15" spans="1:11" x14ac:dyDescent="0.25">
      <c r="B15" t="s">
        <v>1303</v>
      </c>
      <c r="C15" s="31">
        <v>27.65</v>
      </c>
      <c r="D15" s="31"/>
      <c r="E15" s="34"/>
      <c r="F15" s="34"/>
      <c r="G15" s="34"/>
      <c r="H15" s="34"/>
      <c r="I15" s="34"/>
      <c r="J15" s="46"/>
      <c r="K15" s="48"/>
    </row>
    <row r="16" spans="1:11" x14ac:dyDescent="0.25">
      <c r="C16" s="31"/>
      <c r="D16" s="31"/>
      <c r="E16" s="34"/>
      <c r="F16" s="34"/>
      <c r="G16" s="34"/>
      <c r="H16" s="34"/>
      <c r="I16" s="34"/>
      <c r="J16" s="32"/>
      <c r="K16" s="32"/>
    </row>
    <row r="17" spans="1:14" x14ac:dyDescent="0.25">
      <c r="A17" t="s">
        <v>10</v>
      </c>
      <c r="B17" t="s">
        <v>683</v>
      </c>
      <c r="C17" s="31">
        <v>5.05</v>
      </c>
      <c r="D17" s="31"/>
      <c r="E17" s="36">
        <f>C17/F17</f>
        <v>0.65077319587628868</v>
      </c>
      <c r="F17" s="34">
        <v>7.76</v>
      </c>
      <c r="G17" s="34"/>
      <c r="H17" s="36">
        <f>C17/I17</f>
        <v>0.10189669087974172</v>
      </c>
      <c r="I17" s="34">
        <v>49.56</v>
      </c>
      <c r="J17" s="46">
        <f>SUM(C17:C18)</f>
        <v>27.27</v>
      </c>
      <c r="K17" s="48">
        <f>J17/I17</f>
        <v>0.55024213075060524</v>
      </c>
    </row>
    <row r="18" spans="1:14" x14ac:dyDescent="0.25">
      <c r="B18" t="s">
        <v>710</v>
      </c>
      <c r="C18" s="31">
        <v>22.22</v>
      </c>
      <c r="D18" s="31"/>
      <c r="E18" s="36">
        <f>C18/F18</f>
        <v>0.53145180578808893</v>
      </c>
      <c r="F18" s="34">
        <v>41.81</v>
      </c>
      <c r="G18" s="34"/>
      <c r="H18" s="36">
        <f>C18/I17</f>
        <v>0.44834543987086356</v>
      </c>
      <c r="I18" s="34"/>
      <c r="J18" s="46"/>
      <c r="K18" s="48"/>
    </row>
    <row r="19" spans="1:14" x14ac:dyDescent="0.25">
      <c r="C19" s="31"/>
      <c r="D19" s="31"/>
      <c r="E19" s="34"/>
      <c r="F19" s="34"/>
      <c r="G19" s="34"/>
      <c r="H19" s="34"/>
      <c r="I19" s="34"/>
      <c r="J19" s="32"/>
      <c r="K19" s="32"/>
      <c r="N19" s="37"/>
    </row>
    <row r="20" spans="1:14" x14ac:dyDescent="0.25">
      <c r="A20" t="s">
        <v>11</v>
      </c>
      <c r="B20" t="s">
        <v>1362</v>
      </c>
      <c r="C20" s="31">
        <v>5.32</v>
      </c>
      <c r="D20" s="31"/>
      <c r="E20" s="36">
        <f>C20/F20</f>
        <v>0.36067796610169495</v>
      </c>
      <c r="F20" s="34">
        <v>14.75</v>
      </c>
      <c r="G20" s="34"/>
      <c r="H20" s="36">
        <f>C20/I20</f>
        <v>6.4751703992210322E-2</v>
      </c>
      <c r="I20" s="34">
        <v>82.16</v>
      </c>
      <c r="J20" s="46">
        <f>SUM(C20:C23)</f>
        <v>35.090000000000003</v>
      </c>
      <c r="K20" s="48">
        <f>J20/I20</f>
        <v>0.42709347614410914</v>
      </c>
    </row>
    <row r="21" spans="1:14" x14ac:dyDescent="0.25">
      <c r="B21" t="s">
        <v>1395</v>
      </c>
      <c r="C21" s="31">
        <v>4.1900000000000004</v>
      </c>
      <c r="D21" s="31"/>
      <c r="E21" s="36">
        <f t="shared" ref="E21:E26" si="1">C21/F21</f>
        <v>0.44198312236286924</v>
      </c>
      <c r="F21" s="34">
        <v>9.48</v>
      </c>
      <c r="G21" s="34"/>
      <c r="H21" s="36">
        <f>C21/I20</f>
        <v>5.099805258033107E-2</v>
      </c>
      <c r="I21" s="34"/>
      <c r="J21" s="46"/>
      <c r="K21" s="48"/>
    </row>
    <row r="22" spans="1:14" x14ac:dyDescent="0.25">
      <c r="B22" t="s">
        <v>1414</v>
      </c>
      <c r="C22" s="31">
        <v>7.3</v>
      </c>
      <c r="D22" s="31"/>
      <c r="E22" s="36">
        <f t="shared" si="1"/>
        <v>0.32779524023349799</v>
      </c>
      <c r="F22" s="34">
        <v>22.27</v>
      </c>
      <c r="G22" s="34"/>
      <c r="H22" s="36">
        <f>C22/I20</f>
        <v>8.885102239532619E-2</v>
      </c>
      <c r="I22" s="34"/>
      <c r="J22" s="46"/>
      <c r="K22" s="48"/>
    </row>
    <row r="23" spans="1:14" x14ac:dyDescent="0.25">
      <c r="B23" t="s">
        <v>1445</v>
      </c>
      <c r="C23" s="31">
        <v>18.28</v>
      </c>
      <c r="D23" s="31"/>
      <c r="E23" s="36">
        <f t="shared" si="1"/>
        <v>0.51276297335203369</v>
      </c>
      <c r="F23" s="34">
        <v>35.65</v>
      </c>
      <c r="G23" s="34"/>
      <c r="H23" s="36">
        <f>C23/I20</f>
        <v>0.22249269717624151</v>
      </c>
      <c r="I23" s="34"/>
      <c r="J23" s="46"/>
      <c r="K23" s="48"/>
    </row>
    <row r="24" spans="1:14" x14ac:dyDescent="0.25">
      <c r="C24" s="31"/>
      <c r="D24" s="31"/>
      <c r="E24" s="34"/>
      <c r="F24" s="34"/>
      <c r="G24" s="34"/>
      <c r="H24" s="34"/>
      <c r="I24" s="34"/>
      <c r="J24" s="32"/>
      <c r="K24" s="32"/>
    </row>
    <row r="25" spans="1:14" x14ac:dyDescent="0.25">
      <c r="A25" t="s">
        <v>83</v>
      </c>
      <c r="B25" t="s">
        <v>62</v>
      </c>
      <c r="C25" s="31">
        <v>30.53</v>
      </c>
      <c r="D25" s="31"/>
      <c r="E25" s="36">
        <f t="shared" si="1"/>
        <v>0.30770393700787402</v>
      </c>
      <c r="F25" s="31">
        <v>99.21875</v>
      </c>
      <c r="G25" s="31"/>
      <c r="H25" s="36">
        <f>C25/I25</f>
        <v>0.25302502900712748</v>
      </c>
      <c r="I25" s="34">
        <v>120.66</v>
      </c>
      <c r="J25" s="46">
        <f>SUM(C25:C26)</f>
        <v>34.96</v>
      </c>
      <c r="K25" s="48">
        <f>J25/I25</f>
        <v>0.28973976462787998</v>
      </c>
    </row>
    <row r="26" spans="1:14" x14ac:dyDescent="0.25">
      <c r="B26" t="s">
        <v>119</v>
      </c>
      <c r="C26" s="31">
        <v>4.43</v>
      </c>
      <c r="D26" s="31"/>
      <c r="E26" s="36">
        <f t="shared" si="1"/>
        <v>0.20572393533747296</v>
      </c>
      <c r="F26" s="31">
        <v>21.533712121212119</v>
      </c>
      <c r="G26" s="31"/>
      <c r="H26" s="36">
        <f>C26/I25</f>
        <v>3.6714735620752524E-2</v>
      </c>
      <c r="J26" s="46"/>
      <c r="K26" s="48"/>
    </row>
    <row r="27" spans="1:14" x14ac:dyDescent="0.25">
      <c r="C27" s="31"/>
      <c r="D27" s="31"/>
      <c r="E27" s="34"/>
      <c r="F27" s="34"/>
      <c r="G27" s="34"/>
      <c r="H27" s="34"/>
      <c r="I27" s="34"/>
      <c r="J27" s="32"/>
      <c r="K27" s="32"/>
    </row>
    <row r="28" spans="1:14" x14ac:dyDescent="0.25">
      <c r="A28" t="s">
        <v>169</v>
      </c>
      <c r="B28" t="s">
        <v>62</v>
      </c>
      <c r="C28" s="31">
        <v>60.99</v>
      </c>
      <c r="D28" s="31"/>
      <c r="E28" s="36">
        <f>C28/F28</f>
        <v>0.45184471773596091</v>
      </c>
      <c r="F28" s="34">
        <v>134.97999999999999</v>
      </c>
      <c r="G28" s="34"/>
      <c r="H28" s="36">
        <f>C28/I28</f>
        <v>0.45184471773596091</v>
      </c>
      <c r="I28" s="34">
        <v>134.97999999999999</v>
      </c>
      <c r="J28" s="45">
        <f>C28</f>
        <v>60.99</v>
      </c>
      <c r="K28" s="47">
        <f>J28/I28</f>
        <v>0.45184471773596091</v>
      </c>
    </row>
    <row r="29" spans="1:14" x14ac:dyDescent="0.25">
      <c r="C29" s="31"/>
      <c r="D29" s="31"/>
      <c r="E29" s="34"/>
      <c r="F29" s="34"/>
      <c r="G29" s="34"/>
      <c r="H29" s="34"/>
      <c r="I29" s="34"/>
      <c r="J29" s="34"/>
      <c r="K29" s="34"/>
    </row>
    <row r="30" spans="1:14" x14ac:dyDescent="0.25">
      <c r="B30" s="29" t="s">
        <v>329</v>
      </c>
      <c r="C30" s="18">
        <f>SUM(C2:C28)</f>
        <v>394.8</v>
      </c>
      <c r="D30" s="18"/>
      <c r="E30" s="34"/>
      <c r="F30" s="18">
        <f>SUM(F2:F28)</f>
        <v>445.91257575757584</v>
      </c>
      <c r="G30" s="18"/>
      <c r="H30" s="34"/>
      <c r="I30" s="18">
        <f>SUM(I2:I28)</f>
        <v>1175.82</v>
      </c>
      <c r="J30" s="18">
        <f>SUM(J2:J28)</f>
        <v>394.8</v>
      </c>
      <c r="K30" s="49">
        <f>J30/I30</f>
        <v>0.33576567842016636</v>
      </c>
    </row>
    <row r="31" spans="1:14" x14ac:dyDescent="0.25">
      <c r="C31" s="35"/>
      <c r="D31" s="35"/>
    </row>
    <row r="32" spans="1:14" x14ac:dyDescent="0.25">
      <c r="C32" s="35"/>
      <c r="D32" s="35"/>
    </row>
    <row r="39" spans="3:4" x14ac:dyDescent="0.25">
      <c r="C39" s="37"/>
      <c r="D39" s="37"/>
    </row>
  </sheetData>
  <mergeCells count="11">
    <mergeCell ref="J17:J18"/>
    <mergeCell ref="K17:K18"/>
    <mergeCell ref="J20:J23"/>
    <mergeCell ref="K20:K23"/>
    <mergeCell ref="J25:J26"/>
    <mergeCell ref="K25:K26"/>
    <mergeCell ref="J1:K1"/>
    <mergeCell ref="J2:J4"/>
    <mergeCell ref="K2:K4"/>
    <mergeCell ref="J8:J15"/>
    <mergeCell ref="K8:K1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MAINE</vt:lpstr>
      <vt:lpstr>NH</vt:lpstr>
      <vt:lpstr>MASS</vt:lpstr>
      <vt:lpstr>RI</vt:lpstr>
      <vt:lpstr>CT</vt:lpstr>
      <vt:lpstr>NY - LIS</vt:lpstr>
      <vt:lpstr>NY - PECONIC</vt:lpstr>
      <vt:lpstr>Total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2013-01-22T23:36:20Z</dcterms:created>
  <dcterms:modified xsi:type="dcterms:W3CDTF">2015-11-13T20:18:33Z</dcterms:modified>
</cp:coreProperties>
</file>