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Terraqueous\PIPL NORTHEAST SANDY SURVEY\PHASE 3 BEACHES FINAL FILES\"/>
    </mc:Choice>
  </mc:AlternateContent>
  <bookViews>
    <workbookView xWindow="-15" yWindow="285" windowWidth="10050" windowHeight="7020"/>
  </bookViews>
  <sheets>
    <sheet name="Total" sheetId="8" r:id="rId1"/>
    <sheet name="Maine" sheetId="4" r:id="rId2"/>
    <sheet name="NH" sheetId="7" r:id="rId3"/>
    <sheet name="Mass" sheetId="3" r:id="rId4"/>
    <sheet name="RI" sheetId="5" r:id="rId5"/>
    <sheet name="CT" sheetId="6" r:id="rId6"/>
    <sheet name="NY - LIS" sheetId="1" r:id="rId7"/>
    <sheet name="NY - Peconic" sheetId="2" r:id="rId8"/>
    <sheet name="NY - Atlantic" sheetId="9" r:id="rId9"/>
    <sheet name="NJ" sheetId="10" r:id="rId10"/>
    <sheet name="DE" sheetId="11" r:id="rId11"/>
    <sheet name="MD" sheetId="12" r:id="rId12"/>
    <sheet name="VA" sheetId="13" r:id="rId13"/>
    <sheet name="NC" sheetId="14" r:id="rId14"/>
  </sheets>
  <calcPr calcId="171027"/>
</workbook>
</file>

<file path=xl/calcChain.xml><?xml version="1.0" encoding="utf-8"?>
<calcChain xmlns="http://schemas.openxmlformats.org/spreadsheetml/2006/main">
  <c r="B16" i="8" l="1"/>
  <c r="C16" i="8"/>
  <c r="F51" i="3"/>
  <c r="E15" i="3"/>
  <c r="E14" i="3"/>
  <c r="B10" i="8" l="1"/>
  <c r="F23" i="10"/>
  <c r="F89" i="10"/>
  <c r="F88" i="10"/>
  <c r="F86" i="10" l="1"/>
  <c r="F141" i="9" l="1"/>
  <c r="F152" i="9"/>
  <c r="F56" i="9"/>
  <c r="F147" i="9"/>
  <c r="F139" i="9"/>
  <c r="F78" i="9"/>
  <c r="F80" i="9"/>
  <c r="F82" i="9"/>
  <c r="F81" i="9"/>
  <c r="F31" i="9"/>
  <c r="G16" i="8" l="1"/>
  <c r="F125" i="2" l="1"/>
  <c r="F124" i="2"/>
  <c r="F64" i="1" l="1"/>
  <c r="B14" i="8" l="1"/>
  <c r="F81" i="14"/>
  <c r="F41" i="14"/>
  <c r="F40" i="14" l="1"/>
  <c r="F67" i="14"/>
  <c r="F53" i="14"/>
  <c r="F28" i="14"/>
  <c r="F74" i="14"/>
  <c r="F80" i="10" l="1"/>
  <c r="F75" i="10"/>
  <c r="F77" i="10"/>
  <c r="F76" i="10"/>
  <c r="F72" i="10"/>
  <c r="F69" i="10" l="1"/>
  <c r="F67" i="10"/>
  <c r="F65" i="10"/>
  <c r="E63" i="10"/>
  <c r="E62" i="10"/>
  <c r="F60" i="10"/>
  <c r="F58" i="10"/>
  <c r="F47" i="10"/>
  <c r="F45" i="10"/>
  <c r="F44" i="10"/>
  <c r="F40" i="10"/>
  <c r="F34" i="10"/>
  <c r="E28" i="10"/>
  <c r="F27" i="10"/>
  <c r="F25" i="10"/>
  <c r="F17" i="10"/>
  <c r="F28" i="10" l="1"/>
  <c r="F2" i="10"/>
  <c r="F148" i="9" l="1"/>
  <c r="F140" i="9"/>
  <c r="F129" i="9" l="1"/>
  <c r="F150" i="9" l="1"/>
  <c r="F144" i="9"/>
  <c r="F143" i="9"/>
  <c r="F138" i="9"/>
  <c r="F137" i="9"/>
  <c r="F125" i="9"/>
  <c r="E122" i="9"/>
  <c r="F122" i="9" s="1"/>
  <c r="E120" i="9"/>
  <c r="F120" i="9" s="1"/>
  <c r="E118" i="9"/>
  <c r="F118" i="9" s="1"/>
  <c r="F112" i="9"/>
  <c r="F104" i="9"/>
  <c r="F103" i="9"/>
  <c r="F102" i="9"/>
  <c r="F94" i="9"/>
  <c r="F101" i="9"/>
  <c r="F99" i="9"/>
  <c r="F98" i="9"/>
  <c r="F97" i="9"/>
  <c r="F96" i="9"/>
  <c r="F95" i="9"/>
  <c r="F93" i="9"/>
  <c r="F92" i="9"/>
  <c r="F91" i="9"/>
  <c r="F90" i="9"/>
  <c r="F89" i="9"/>
  <c r="F88" i="9"/>
  <c r="F87" i="9"/>
  <c r="F86" i="9"/>
  <c r="F111" i="9" l="1"/>
  <c r="F79" i="9"/>
  <c r="F77" i="9"/>
  <c r="F76" i="9"/>
  <c r="F75" i="9"/>
  <c r="F74" i="9"/>
  <c r="F73" i="9"/>
  <c r="F72" i="9"/>
  <c r="F71" i="9"/>
  <c r="F70" i="9"/>
  <c r="F69" i="9"/>
  <c r="F68" i="9"/>
  <c r="F67" i="9"/>
  <c r="F66" i="9"/>
  <c r="F65" i="9"/>
  <c r="F44" i="9"/>
  <c r="F30" i="9"/>
  <c r="F29" i="9"/>
  <c r="F17" i="9"/>
  <c r="F15" i="9"/>
  <c r="F14" i="9"/>
  <c r="F13" i="9"/>
  <c r="F12" i="9"/>
  <c r="F11" i="9"/>
  <c r="F155" i="9" s="1"/>
  <c r="F10" i="9"/>
  <c r="F9" i="9"/>
  <c r="F8" i="9"/>
  <c r="F6" i="9"/>
  <c r="F5" i="9"/>
  <c r="F4" i="9"/>
  <c r="F2" i="9"/>
  <c r="F131" i="2" l="1"/>
  <c r="F132" i="2"/>
  <c r="F128" i="2"/>
  <c r="F127" i="2"/>
  <c r="F126" i="2"/>
  <c r="F123" i="2"/>
  <c r="F122" i="2"/>
  <c r="F120" i="2"/>
  <c r="F115" i="2"/>
  <c r="F111" i="2"/>
  <c r="F110" i="2"/>
  <c r="F109" i="2"/>
  <c r="F108" i="2"/>
  <c r="F107" i="2"/>
  <c r="F106" i="2"/>
  <c r="F105" i="2"/>
  <c r="F103" i="2"/>
  <c r="F99" i="2"/>
  <c r="F98" i="2"/>
  <c r="F93" i="2" l="1"/>
  <c r="F92" i="2"/>
  <c r="F97" i="2"/>
  <c r="F94" i="2"/>
  <c r="F95" i="2"/>
  <c r="F88" i="2"/>
  <c r="F82" i="2"/>
  <c r="F81" i="2"/>
  <c r="F78" i="2"/>
  <c r="F76" i="2"/>
  <c r="F75" i="2"/>
  <c r="F74" i="2"/>
  <c r="F73" i="2"/>
  <c r="F72" i="2"/>
  <c r="F71" i="2"/>
  <c r="F69" i="2"/>
  <c r="F68" i="2"/>
  <c r="F66" i="2"/>
  <c r="F65" i="2"/>
  <c r="F64" i="2"/>
  <c r="F63" i="2"/>
  <c r="F58" i="2"/>
  <c r="F56" i="2"/>
  <c r="F60" i="2"/>
  <c r="F57" i="2"/>
  <c r="F55" i="2"/>
  <c r="F50" i="2"/>
  <c r="F49" i="2"/>
  <c r="F48" i="2"/>
  <c r="F46" i="2"/>
  <c r="F45" i="2"/>
  <c r="F44" i="2"/>
  <c r="F43" i="2"/>
  <c r="F42" i="2"/>
  <c r="F41" i="2"/>
  <c r="F39" i="2"/>
  <c r="F38" i="2"/>
  <c r="F37" i="2"/>
  <c r="F36" i="2"/>
  <c r="F32" i="2"/>
  <c r="F31" i="2"/>
  <c r="F30" i="2"/>
  <c r="F29" i="2"/>
  <c r="F28" i="2"/>
  <c r="F25" i="2"/>
  <c r="F18" i="2"/>
  <c r="F17" i="2"/>
  <c r="F16" i="2"/>
  <c r="F15" i="2"/>
  <c r="F14" i="2"/>
  <c r="F13" i="2"/>
  <c r="F23" i="2"/>
  <c r="F22" i="2"/>
  <c r="F21" i="2"/>
  <c r="F20" i="2"/>
  <c r="F19" i="2"/>
  <c r="F12" i="2"/>
  <c r="F9" i="2"/>
  <c r="F10" i="2"/>
  <c r="F6" i="2"/>
  <c r="F5" i="2"/>
  <c r="F4" i="2"/>
  <c r="F59" i="1" l="1"/>
  <c r="F60" i="1"/>
  <c r="F58" i="1"/>
  <c r="F56" i="1"/>
  <c r="F55" i="1"/>
  <c r="F54" i="1"/>
  <c r="F53" i="1"/>
  <c r="F50" i="1"/>
  <c r="F49" i="1"/>
  <c r="F47" i="1"/>
  <c r="F51" i="1"/>
  <c r="F45" i="1"/>
  <c r="F44" i="1"/>
  <c r="F43" i="1"/>
  <c r="F42" i="1"/>
  <c r="F41" i="1"/>
  <c r="F40" i="1"/>
  <c r="F39" i="1"/>
  <c r="F38" i="1"/>
  <c r="F37" i="1"/>
  <c r="F36" i="1"/>
  <c r="F32" i="1"/>
  <c r="F35" i="1"/>
  <c r="F34" i="1"/>
  <c r="F33" i="1"/>
  <c r="F30" i="1"/>
  <c r="F29" i="1"/>
  <c r="F26" i="1"/>
  <c r="F25" i="1"/>
  <c r="F24" i="1"/>
  <c r="F23" i="1"/>
  <c r="F22" i="1"/>
  <c r="F19" i="1"/>
  <c r="F18" i="1"/>
  <c r="F21" i="1"/>
  <c r="F17" i="1"/>
  <c r="F16" i="1"/>
  <c r="F15" i="1"/>
  <c r="F14" i="1"/>
  <c r="F13" i="1"/>
  <c r="F12" i="1"/>
  <c r="F11" i="1"/>
  <c r="F10" i="1"/>
  <c r="F9" i="1"/>
  <c r="F8" i="1"/>
  <c r="F7" i="1"/>
  <c r="F4" i="1"/>
  <c r="F3" i="1"/>
  <c r="F52" i="6"/>
  <c r="F53" i="6"/>
  <c r="F47" i="6"/>
  <c r="F34" i="6"/>
  <c r="F32" i="6"/>
  <c r="F31" i="6" l="1"/>
  <c r="F28" i="6"/>
  <c r="F30" i="6"/>
  <c r="F11" i="6"/>
  <c r="F9" i="6"/>
  <c r="F8" i="6"/>
  <c r="F7" i="6"/>
  <c r="F95" i="5" l="1"/>
  <c r="F89" i="5"/>
  <c r="F87" i="5"/>
  <c r="F84" i="5"/>
  <c r="F82" i="5"/>
  <c r="F66" i="5"/>
  <c r="F81" i="5"/>
  <c r="F80" i="5"/>
  <c r="F79" i="5"/>
  <c r="F78" i="5"/>
  <c r="F77" i="5"/>
  <c r="F76" i="5"/>
  <c r="F75" i="5"/>
  <c r="F74" i="5"/>
  <c r="F73" i="5"/>
  <c r="F72" i="5"/>
  <c r="F70" i="5"/>
  <c r="F69" i="5"/>
  <c r="F68" i="5"/>
  <c r="F67" i="5"/>
  <c r="F65" i="5"/>
  <c r="F64" i="5"/>
  <c r="F63" i="5"/>
  <c r="F62" i="5"/>
  <c r="F61" i="5"/>
  <c r="F60" i="5"/>
  <c r="F58" i="5"/>
  <c r="F56" i="5" l="1"/>
  <c r="F54" i="5"/>
  <c r="F53" i="5"/>
  <c r="F52" i="5"/>
  <c r="F51" i="5"/>
  <c r="F50" i="5"/>
  <c r="F49" i="5"/>
  <c r="F48" i="5"/>
  <c r="F47" i="5"/>
  <c r="F46" i="5"/>
  <c r="F45" i="5"/>
  <c r="F44" i="5"/>
  <c r="F43" i="5"/>
  <c r="F42" i="5"/>
  <c r="F41" i="5"/>
  <c r="F40" i="5"/>
  <c r="F39" i="5"/>
  <c r="F38" i="5"/>
  <c r="F37" i="5"/>
  <c r="F36" i="5"/>
  <c r="F35" i="5"/>
  <c r="F34" i="5"/>
  <c r="F33" i="5"/>
  <c r="F31" i="5"/>
  <c r="F32" i="5"/>
  <c r="F30" i="5"/>
  <c r="F27" i="5"/>
  <c r="F29" i="5" l="1"/>
  <c r="F28" i="5"/>
  <c r="F26" i="5"/>
  <c r="F25" i="5"/>
  <c r="F24" i="5"/>
  <c r="F23" i="5"/>
  <c r="F22" i="5"/>
  <c r="F21" i="5"/>
  <c r="F20" i="5"/>
  <c r="F19" i="5"/>
  <c r="F18" i="5"/>
  <c r="F15" i="5"/>
  <c r="F14" i="5"/>
  <c r="F13" i="5"/>
  <c r="F12" i="5"/>
  <c r="F11" i="5"/>
  <c r="F10" i="5"/>
  <c r="F8" i="5"/>
  <c r="F7" i="5"/>
  <c r="F6" i="5"/>
  <c r="F5" i="5"/>
  <c r="F3" i="5"/>
  <c r="F2" i="5"/>
  <c r="F12" i="13"/>
  <c r="F13" i="13" l="1"/>
  <c r="F6" i="13"/>
  <c r="E4" i="13"/>
  <c r="E2" i="13" l="1"/>
  <c r="E5" i="12"/>
  <c r="E2" i="12"/>
  <c r="F7" i="11"/>
  <c r="F14" i="11" s="1"/>
  <c r="F9" i="14" l="1"/>
  <c r="F21" i="14"/>
  <c r="F45" i="14"/>
  <c r="F76" i="14"/>
  <c r="F71" i="14" l="1"/>
  <c r="F70" i="14"/>
  <c r="F65" i="14"/>
  <c r="F66" i="14" l="1"/>
  <c r="F68" i="14" l="1"/>
  <c r="F57" i="14"/>
  <c r="F56" i="14"/>
  <c r="F55" i="14"/>
  <c r="F52" i="14"/>
  <c r="F49" i="14"/>
  <c r="F48" i="14"/>
  <c r="F34" i="14"/>
  <c r="F35" i="14"/>
  <c r="F43" i="14"/>
  <c r="F38" i="14"/>
  <c r="F37" i="14"/>
  <c r="F36" i="14"/>
  <c r="F33" i="14"/>
  <c r="F6" i="14"/>
  <c r="F14" i="14"/>
  <c r="F30" i="14"/>
  <c r="F31" i="14"/>
  <c r="F27" i="14"/>
  <c r="F26" i="14"/>
  <c r="E25" i="14"/>
  <c r="F23" i="14"/>
  <c r="E21" i="14"/>
  <c r="F19" i="14"/>
  <c r="F18" i="14"/>
  <c r="F16" i="14"/>
  <c r="F17" i="14" s="1"/>
  <c r="F15" i="14"/>
  <c r="F12" i="14"/>
  <c r="F10" i="14"/>
  <c r="E8" i="14"/>
  <c r="F7" i="14"/>
  <c r="F3" i="14"/>
  <c r="F77" i="14"/>
  <c r="F75" i="14"/>
  <c r="F62" i="14"/>
  <c r="F61" i="14"/>
  <c r="F60" i="14"/>
  <c r="F59" i="14"/>
  <c r="F54" i="14"/>
  <c r="F50" i="14"/>
  <c r="E47" i="14"/>
  <c r="F44" i="14"/>
  <c r="F42" i="14"/>
  <c r="F39" i="14"/>
  <c r="F32" i="14"/>
  <c r="E30" i="14"/>
  <c r="F22" i="14"/>
  <c r="E6" i="14"/>
  <c r="F5" i="14"/>
  <c r="F4" i="14"/>
  <c r="F2" i="14"/>
  <c r="F80" i="14" l="1"/>
  <c r="E80" i="14"/>
  <c r="E105" i="3" l="1"/>
  <c r="E118" i="3" l="1"/>
  <c r="F111" i="3"/>
  <c r="F110" i="3"/>
  <c r="F107" i="3"/>
  <c r="F106" i="3"/>
  <c r="F105" i="3"/>
  <c r="F104" i="3"/>
  <c r="F103" i="3"/>
  <c r="F102" i="3"/>
  <c r="F101" i="3"/>
  <c r="F100" i="3"/>
  <c r="F97" i="3"/>
  <c r="F96" i="3"/>
  <c r="F77" i="3"/>
  <c r="F49" i="3"/>
  <c r="F48" i="3"/>
  <c r="F47" i="3"/>
  <c r="F46" i="3"/>
  <c r="F45" i="3"/>
  <c r="F44" i="3"/>
  <c r="F43" i="3"/>
  <c r="F42" i="3"/>
  <c r="F41" i="3"/>
  <c r="F40" i="3"/>
  <c r="F39" i="3"/>
  <c r="F37" i="3"/>
  <c r="F36" i="3"/>
  <c r="F35" i="3"/>
  <c r="F34" i="3"/>
  <c r="F33" i="3"/>
  <c r="F32" i="3"/>
  <c r="F31" i="3"/>
  <c r="F30" i="3"/>
  <c r="F29" i="3"/>
  <c r="F28" i="3"/>
  <c r="F27" i="3"/>
  <c r="F20" i="3"/>
  <c r="D8" i="8" l="1"/>
  <c r="D7" i="8"/>
  <c r="F10" i="8"/>
  <c r="F16" i="8" s="1"/>
  <c r="D16" i="8" l="1"/>
  <c r="F10" i="13"/>
  <c r="F9" i="13"/>
  <c r="F7" i="13"/>
  <c r="F3" i="13"/>
  <c r="F12" i="12"/>
  <c r="F12" i="11"/>
  <c r="F9" i="11"/>
  <c r="F8" i="11"/>
  <c r="F6" i="11"/>
  <c r="F5" i="11"/>
  <c r="F3" i="11"/>
  <c r="F149" i="9"/>
  <c r="F145" i="9"/>
  <c r="F142" i="9"/>
  <c r="E130" i="9"/>
  <c r="E152" i="9" s="1"/>
  <c r="F107" i="9"/>
  <c r="F106" i="9"/>
  <c r="F85" i="9"/>
  <c r="F84" i="9"/>
  <c r="F16" i="9"/>
  <c r="F84" i="10"/>
  <c r="F83" i="10"/>
  <c r="F82" i="10"/>
  <c r="F78" i="10"/>
  <c r="E74" i="10"/>
  <c r="F70" i="10"/>
  <c r="L60" i="10"/>
  <c r="F57" i="10"/>
  <c r="F55" i="10"/>
  <c r="F54" i="10"/>
  <c r="F52" i="10"/>
  <c r="F51" i="10"/>
  <c r="F50" i="10"/>
  <c r="F41" i="10"/>
  <c r="F36" i="10"/>
  <c r="F32" i="10"/>
  <c r="F31" i="10"/>
  <c r="F30" i="10"/>
  <c r="F29" i="10"/>
  <c r="F24" i="10"/>
  <c r="F13" i="10"/>
  <c r="F12" i="10"/>
  <c r="F4" i="10"/>
  <c r="F3" i="10"/>
  <c r="F154" i="9" l="1"/>
  <c r="F74" i="10"/>
  <c r="E86" i="10"/>
  <c r="F16" i="4" l="1"/>
  <c r="F17" i="4"/>
  <c r="F8" i="4"/>
  <c r="F61" i="1" l="1"/>
  <c r="F75" i="3"/>
  <c r="F63" i="3" l="1"/>
  <c r="F11" i="3" l="1"/>
  <c r="F24" i="3" l="1"/>
  <c r="F53" i="3" l="1"/>
  <c r="F55" i="3"/>
  <c r="F57" i="3"/>
  <c r="F118" i="3" s="1"/>
  <c r="F56" i="3"/>
  <c r="E95" i="5" l="1"/>
  <c r="F46" i="1" l="1"/>
  <c r="F63" i="1" s="1"/>
  <c r="F99" i="3" l="1"/>
  <c r="F91" i="3"/>
  <c r="F89" i="3"/>
  <c r="F88" i="3"/>
  <c r="F87" i="3"/>
  <c r="F83" i="3"/>
  <c r="F82" i="3"/>
  <c r="F79" i="3"/>
  <c r="F54" i="3"/>
  <c r="F25" i="3"/>
  <c r="F21" i="3"/>
  <c r="F18" i="3"/>
  <c r="F19" i="3"/>
  <c r="F17" i="3"/>
  <c r="F13" i="3"/>
  <c r="F12" i="3"/>
  <c r="F10" i="3"/>
  <c r="F8" i="3"/>
  <c r="F7" i="3"/>
  <c r="F6" i="3"/>
  <c r="F3" i="3"/>
  <c r="F2" i="3"/>
  <c r="F4" i="3"/>
  <c r="F5" i="3"/>
  <c r="F119" i="2" l="1"/>
  <c r="F117" i="2"/>
  <c r="F16" i="5" l="1"/>
  <c r="F86" i="5"/>
  <c r="F71" i="5"/>
  <c r="F3" i="7" l="1"/>
  <c r="F2" i="7"/>
  <c r="F24" i="6" l="1"/>
  <c r="E45" i="6"/>
  <c r="E63" i="1" l="1"/>
  <c r="E52" i="6"/>
  <c r="E6" i="7"/>
  <c r="F6" i="7" s="1"/>
  <c r="F40" i="2"/>
  <c r="E131" i="2" l="1"/>
  <c r="F19" i="6"/>
  <c r="F49" i="6" l="1"/>
  <c r="F48" i="6"/>
  <c r="F46" i="6"/>
  <c r="F45" i="6"/>
  <c r="F44" i="6"/>
  <c r="F43" i="6"/>
  <c r="F42" i="6"/>
  <c r="F41" i="6"/>
  <c r="F40" i="6"/>
  <c r="F39" i="6"/>
  <c r="F38" i="6"/>
  <c r="F35" i="6"/>
  <c r="F33" i="6"/>
  <c r="F27" i="6"/>
  <c r="F26" i="6"/>
  <c r="F25" i="6"/>
  <c r="F22" i="6"/>
  <c r="F17" i="6"/>
  <c r="F13" i="6"/>
  <c r="F12" i="6"/>
  <c r="F10" i="6"/>
  <c r="F4" i="6"/>
</calcChain>
</file>

<file path=xl/sharedStrings.xml><?xml version="1.0" encoding="utf-8"?>
<sst xmlns="http://schemas.openxmlformats.org/spreadsheetml/2006/main" count="6112" uniqueCount="2627">
  <si>
    <t>State</t>
  </si>
  <si>
    <t>Location</t>
  </si>
  <si>
    <t>First Year of Record</t>
  </si>
  <si>
    <t>Project Length (miles)</t>
  </si>
  <si>
    <t>Source</t>
  </si>
  <si>
    <t>Project Length (ft)</t>
  </si>
  <si>
    <t>TOTAL</t>
  </si>
  <si>
    <t>Notes</t>
  </si>
  <si>
    <t>NY - LIS</t>
  </si>
  <si>
    <t>NY - Peconic</t>
  </si>
  <si>
    <t>Gardiner's Island</t>
  </si>
  <si>
    <t>Orient Point County Park</t>
  </si>
  <si>
    <t>MA</t>
  </si>
  <si>
    <t>Howes et al. (2006a)</t>
  </si>
  <si>
    <t>Mass Audubon, Three Bays Preservation and the Town of Barnstable use the Barnstable County dredge to dredge the Cotuit Bay Inlet and sometimes part of West Bay for fill on Dead Neck; 187,000 cy in winter of 1998-99, much lesser amounts in later episodes</t>
  </si>
  <si>
    <t>1998-99</t>
  </si>
  <si>
    <t>Howes et al. (2006b)</t>
  </si>
  <si>
    <t>1971 episode was 20,000 cy of material dredged from East Bay (Centerville River) Inlet; Phase 1 dredged more than 20,000 cy of material from the Centerville River near East Bay in 2002 and placed on Long Beach between Centerville River &amp; Harbor; Phase 2 dredged material estimated 31,180 cy of silt/sand sediments placed in an upland dewatering site on Craigville Beach with th sandy sediment placed on the beach and silt sediment hauled to a waste recycling facility in Sandwich</t>
  </si>
  <si>
    <t>Menauhant Beach (Falmouth)</t>
  </si>
  <si>
    <t>Howes et al. (2005)</t>
  </si>
  <si>
    <t>Great Pond Inlet is dredged annually with approx. 1,000 cy or less placed on the beach to the west of the inlet</t>
  </si>
  <si>
    <t>USACE navigation improvement project for Falmouth Harbor in 1957 placed 120,000 cy of fill along the Falmouth Heights shoreline</t>
  </si>
  <si>
    <t>Town of East Hampton (1999)</t>
  </si>
  <si>
    <t>Town of East Hampton (1999, 2013)</t>
  </si>
  <si>
    <t>1987, 1989</t>
  </si>
  <si>
    <t>1961, 1965, 1974, 1975, 1996</t>
  </si>
  <si>
    <t>1965, 1971, 1976, 1985, 1989, 1993, 1996</t>
  </si>
  <si>
    <t>inlet relocated 1961, old inlet site to east filled and spit in between received fill of 375,000 cy total; 49,000 cy in 1965; 18,000 cy in 1971; 20,000 cy in 1995</t>
  </si>
  <si>
    <t>ME</t>
  </si>
  <si>
    <t>26,000 cy of federal navigation dredge disposal</t>
  </si>
  <si>
    <t>RI</t>
  </si>
  <si>
    <t>CT</t>
  </si>
  <si>
    <t>state project with 7,403 cy</t>
  </si>
  <si>
    <t>state project with 63,000 cy</t>
  </si>
  <si>
    <t>24,000 cy one-time project</t>
  </si>
  <si>
    <t>2 state projects of 37,000 cy in 1967 and 51,000 cy in 1957</t>
  </si>
  <si>
    <t>state project with 9,700 cy</t>
  </si>
  <si>
    <t>state project with 21,000 cy</t>
  </si>
  <si>
    <t>state project with 170,000 cy</t>
  </si>
  <si>
    <t>1957 federal shore projection project along 1,235 ft with 55,000 cy; 1966 state project along 800 ft with 15,000 cy</t>
  </si>
  <si>
    <t>state project with 600,000 cy</t>
  </si>
  <si>
    <t>state project along 4,400 ft with 140,000 cy</t>
  </si>
  <si>
    <t>state project along 5,600 ft with 165,000 cy</t>
  </si>
  <si>
    <t>federal shore protection project along 500 ft with 17,000 cy</t>
  </si>
  <si>
    <t>TOTAL LENGTHS</t>
  </si>
  <si>
    <t>state project with 10,600 cy</t>
  </si>
  <si>
    <t>1 episode with unknown volume</t>
  </si>
  <si>
    <t>1955, 1958, 1968, 1983, 1985, 1998-99, 2000</t>
  </si>
  <si>
    <t>Cuttyhunk Harbor, Cuttyhunk Island</t>
  </si>
  <si>
    <t>Oak Bluffs, Martha's Vineyard</t>
  </si>
  <si>
    <t>NH</t>
  </si>
  <si>
    <t>Seabrook</t>
  </si>
  <si>
    <t>dredge spoil from inlet</t>
  </si>
  <si>
    <t>Howes et al. (2005), Barnstable County (2009, 2010, 2011, 2012)</t>
  </si>
  <si>
    <t>USACE (2014b)</t>
  </si>
  <si>
    <t>Inkwell Beach, Martha's Vineyard</t>
  </si>
  <si>
    <t>Friends of Farm Pond (http://friendsoffarmpond.net/page.php?id=5)</t>
  </si>
  <si>
    <t>Harthaven channel into Farm Pond was dredged, widened and deepened in the fall of 1985 with material placed on the beach</t>
  </si>
  <si>
    <t>1996, 1997, 1998, 2001, 2002, 2004</t>
  </si>
  <si>
    <t>Town of Harwich Dredging website</t>
  </si>
  <si>
    <t>Bend in the Road Beach, Edgartown, Martha's Vineyard</t>
  </si>
  <si>
    <t>Cow Bay Beach, Edgartown, Martha's Vineyard</t>
  </si>
  <si>
    <t>Froelich Property, Edgartown, Martha's Vineyard</t>
  </si>
  <si>
    <t>Eel Pond Spit, Edgartown, Martha's Vineyard</t>
  </si>
  <si>
    <t>Lighthouse (Fuller) Beach, Edgartown, Martha's Vineyard</t>
  </si>
  <si>
    <t>Cape Poge Elbow, Edgartown, Martha's Vineyard</t>
  </si>
  <si>
    <t>North Gut, Edgartown, Martha's Vineyard</t>
  </si>
  <si>
    <t>South Beach, Edgartown, Martha's Vineyard</t>
  </si>
  <si>
    <t>Howes et al. (2005), Barnstable County (2009), USACE (2013b)</t>
  </si>
  <si>
    <t>Haddad and Pilkey (1998)</t>
  </si>
  <si>
    <t>Wallis Sands State Park</t>
  </si>
  <si>
    <t>1972, 1983</t>
  </si>
  <si>
    <t>1963 federal storm and erosion control project with 200,000 cy along 800 ft; 1972 federal emergency project with 10,000 cy; 1983 federal storm and erosion project</t>
  </si>
  <si>
    <t>Hampton Beach</t>
  </si>
  <si>
    <t>Wingersheek Beach, Gloucester</t>
  </si>
  <si>
    <t>pre-1961</t>
  </si>
  <si>
    <t>1959, 1996</t>
  </si>
  <si>
    <t>1 federal project with unknown volume</t>
  </si>
  <si>
    <t>federal SSSA project with 160,000 cy along 2,500 ft</t>
  </si>
  <si>
    <t>between First and Second Cliff, Scituate</t>
  </si>
  <si>
    <t>Brant Rock, Marshfield</t>
  </si>
  <si>
    <t>federal SSSA project along 1,300 ft with unknown volume</t>
  </si>
  <si>
    <t>federal navigation project with 40,000 cy</t>
  </si>
  <si>
    <t>federal navigation project with 117,000 cy</t>
  </si>
  <si>
    <t>Children's Beach, Nantucket</t>
  </si>
  <si>
    <t>federal navigation project with 36,000 cy</t>
  </si>
  <si>
    <t>Kalmus Park Beach, Barnstable</t>
  </si>
  <si>
    <t>Haddad and Pilkey (1998), Town of Harwich Dredging website</t>
  </si>
  <si>
    <t>Red River Beach, Harwich</t>
  </si>
  <si>
    <t>east and west of Parker's River, Yarmouth</t>
  </si>
  <si>
    <t>West Dennis Beach, Dennis</t>
  </si>
  <si>
    <t>South Yarmouth Beach, Yarmouth</t>
  </si>
  <si>
    <t>Haddad and Pilkey (1998), Howes et al. (2005)</t>
  </si>
  <si>
    <t>Maganset Beach, Falmouth</t>
  </si>
  <si>
    <t>Wild Harbor, Falmouth</t>
  </si>
  <si>
    <t>Monument Beach, Bourne</t>
  </si>
  <si>
    <t>Pocasset Beach, Bourne</t>
  </si>
  <si>
    <t>Little Harbor, Wareham</t>
  </si>
  <si>
    <t>Hamilton Beach, Wareham</t>
  </si>
  <si>
    <t>Long Beach, Wareham</t>
  </si>
  <si>
    <t>Parkwood Beach, Wareham</t>
  </si>
  <si>
    <t>Pinehurst Beach, Wareham</t>
  </si>
  <si>
    <t>Swift Beach, Wareham</t>
  </si>
  <si>
    <t>Silver Shell Beach, Marion</t>
  </si>
  <si>
    <t>Water Street Beach, Mattapoisett</t>
  </si>
  <si>
    <t>Pope Beach, Fairhaven</t>
  </si>
  <si>
    <t>local projects with 12,600 cy in 1956, 77,000 cy in 1959, and 10,666 in 1959</t>
  </si>
  <si>
    <t>1958, 1959 (2x)</t>
  </si>
  <si>
    <t>1959, 1980</t>
  </si>
  <si>
    <t>Singing Beach, Manchester</t>
  </si>
  <si>
    <t>Dane Street Beach, Beverly</t>
  </si>
  <si>
    <t>Salem Willows, Salem</t>
  </si>
  <si>
    <t>Palmers Cove, Salem</t>
  </si>
  <si>
    <t>Collins Cove, Salem</t>
  </si>
  <si>
    <t>Forrest Beach Park, Salem (now may be Forest River Park)</t>
  </si>
  <si>
    <t>Fisherman's Beach, Swampscott</t>
  </si>
  <si>
    <t>Sand Hill Cove, Point Judith</t>
  </si>
  <si>
    <t>Suffolk County (1985)</t>
  </si>
  <si>
    <t>Suffolk County (1985), Town of East Hampton (1999)</t>
  </si>
  <si>
    <t>1975, 1979, 1980, 1981, 1982, 193, 1984</t>
  </si>
  <si>
    <t>1975, 1982, 1983, 1984</t>
  </si>
  <si>
    <t>1960, 1965, 1976, 1983</t>
  </si>
  <si>
    <t>1980, 1981, 1982, 1983, 1984</t>
  </si>
  <si>
    <t>1967, 1972, 1975, 1979, 1980, 1981 (2x), 1983, 1984</t>
  </si>
  <si>
    <t>1964, 1971, 1975, 1980, 1981, 1982, 1983 (2x), 1984</t>
  </si>
  <si>
    <t>1967, 1968, 1981</t>
  </si>
  <si>
    <t>1967, 1971, 1975, 1982</t>
  </si>
  <si>
    <t>1964-65</t>
  </si>
  <si>
    <t>1979, 1980, 1983</t>
  </si>
  <si>
    <t>1972, 1975, 1976, 1980 (2x), 1982, 1983</t>
  </si>
  <si>
    <t>1980, 1983</t>
  </si>
  <si>
    <t>1979, 1980, 1981, 1982, 1983, 1984</t>
  </si>
  <si>
    <t>1972, 1979, 1981, 1982, 1983, 1984</t>
  </si>
  <si>
    <t>1968, 1975, 1976, 1978, 1979, 1980, 1981 (2x), 1982, 1983 (2x), 1984 (2x)</t>
  </si>
  <si>
    <t>1963-64</t>
  </si>
  <si>
    <t>1959, 1976</t>
  </si>
  <si>
    <t>1960, 1970, 1979, 1983</t>
  </si>
  <si>
    <t>1976, 1982</t>
  </si>
  <si>
    <t>Suffolk County (1985), USACE (2008a)</t>
  </si>
  <si>
    <t>Town of East Hampton (1999), USACE (2008b)</t>
  </si>
  <si>
    <t>1998, 2000, 2002, 2005, 2010, 2011</t>
  </si>
  <si>
    <t>USACE (1996, 2013d, 2014c), Dukes County dredging website</t>
  </si>
  <si>
    <t>Joseph Sylvia State Beach, Martha's Vineyard</t>
  </si>
  <si>
    <t>dredge spoil or mined material from Sengekontacket Pond; fill placed in various groin compartments south of North Inlet</t>
  </si>
  <si>
    <t>USACE (2014d)</t>
  </si>
  <si>
    <t>Haddad and Pilkey (1998), USACE New England District website</t>
  </si>
  <si>
    <t>1959-60</t>
  </si>
  <si>
    <t>federal shore protection project along 2,600 ft east of Cedar Point and 1,100 ft west of Cedar Point with 260,000 cy</t>
  </si>
  <si>
    <t>federal shore protection project with 380,000 cy along 10,000 ft plus the 2 training walls at Toms Creek and the groin at Hammonasset Point</t>
  </si>
  <si>
    <t>1990-91</t>
  </si>
  <si>
    <t>federal storm and erosion project since 1987 with initial construction completed in Jan. 1991 with beach fill, reconstruction of the Ivy Street groin, planting of 10,500 square feet of beach grass, 470 feet of sand fencing and 425 ft of timber curbing installed at the parking area</t>
  </si>
  <si>
    <t>1959 local project with 21,331 cy, 1980 federal Continuing Authorities Program project with 53,306 cy along 1,600 ft</t>
  </si>
  <si>
    <t>1948 state project with 6,400 cy; 1959 federal project with 357,000 cy along 8,500 ft from Hovey Street to the Rufes Hummock Seawall; 1996 state project with 44,200 cy</t>
  </si>
  <si>
    <t>1959 federal SSSA project along 1,000 ft near Wessagusssett Road and 1,600 ft near Regatta Road and River Street in 1969 with 148,000 cy</t>
  </si>
  <si>
    <t>PROPOSED</t>
  </si>
  <si>
    <t>1969 (2x), 1970, 1978 (2x), 1982, 1992 (2x), 1996, 2012</t>
  </si>
  <si>
    <t>1994, 1995</t>
  </si>
  <si>
    <t>Suffolk County (1985), Town of East Hampton (1999), USACE New York District website</t>
  </si>
  <si>
    <t>?</t>
  </si>
  <si>
    <t>Howes et al. (2004)</t>
  </si>
  <si>
    <t>Suffolk County (1985), Morgan et al. (2005)</t>
  </si>
  <si>
    <t>dredge spoil from Goldsmith Inlet is placed on county parkland beaches (and Kenneys Road Beach) to the east, with 4,000 cy in 1977, 3,720 cy in 1980, 2,640 cy in 1985 and ~5,000 cy in 2004; historically dredged by Suffolk County, since 1991 by Town of Southold</t>
  </si>
  <si>
    <t>1980, 1985, 2004</t>
  </si>
  <si>
    <t>Morgan et al. (2005)</t>
  </si>
  <si>
    <t>1989, 1990, annually since then except not in 2002 or 2003</t>
  </si>
  <si>
    <t>National Grid Generation, LLC, dredges both the intake and discharge canals every 3 years to the Northport Power Plant and places approximately 45,000 cy of material along 1 mile of beach starting at least 1,000 ft west of the intake channel's west jetty; 2013 permit renewal request is for 10 years of maintenance dredging; previous permit was modified in 2010 to require the placement of 45,000 cy of material every 3 years to compensate for downdrift erosion impacts from the jetties at the Power Plant</t>
  </si>
  <si>
    <t>Campbell (2013), USACE (2013g), Steve Sinkevich, USFWS, pers. communication May 18, 2015, Village of Asharoken website</t>
  </si>
  <si>
    <t>Sandy Point Island</t>
  </si>
  <si>
    <t>USACE (2014g), Suzanne Paton, USFWS, pers. communication, May 20, 2015</t>
  </si>
  <si>
    <t>2000-01</t>
  </si>
  <si>
    <t>Haddad and Pilkey (1998), Beach Stakeholders Group (2006)</t>
  </si>
  <si>
    <t>Peter Slovinsky, MGS, pers. communication, May 15, 2015</t>
  </si>
  <si>
    <t>in Drakes Island total</t>
  </si>
  <si>
    <t>Old Orchard Beach</t>
  </si>
  <si>
    <t>1.1 miles of dune were constructed in Old Orchard Beach in 1986</t>
  </si>
  <si>
    <t>flood tidal delta of Ogunquit River Inlet was mined in 1974 to build dunes (dike) on Ogunquit Beach</t>
  </si>
  <si>
    <t>Popham Beach</t>
  </si>
  <si>
    <t>A minor inlet relocation project and beach scraping project modified 0.2 miles of beach with sediment placement in 2011</t>
  </si>
  <si>
    <t>1973, 1987, 2010</t>
  </si>
  <si>
    <t>1957, 2010</t>
  </si>
  <si>
    <t>Pleasant Street, Chatham</t>
  </si>
  <si>
    <t>Forest Beach, Chatham</t>
  </si>
  <si>
    <t>USACE (2013h)</t>
  </si>
  <si>
    <t>Town of Chatham's Comprehensive Dredging and Disposal Project shows 300 ft disposal area at the end of Pleasant Street</t>
  </si>
  <si>
    <t>Town of Chatham's Comprehensive Dredging and Disposal Project shows 1,160 ft disposal area at the west end of Forest Beach</t>
  </si>
  <si>
    <t>Howes et al. (2003, p. 104) states beach fill efforts are likely to prevent reopening of Cockle Cove Creek Inlet, which had closed by 1994; USACE (2013h) shows Town of Chatham dredge disposal material placement along 1,250 ft of beach</t>
  </si>
  <si>
    <t>Town of Chatham's Comprehensive Dredging and Disposal Project shows 7,175 ft disposal area at Hardings Beach</t>
  </si>
  <si>
    <t>Barges Beach, Cuttyhunk Island</t>
  </si>
  <si>
    <t>150,000 cy of fill placed over 14 "train car floats" that were run aground along the beach as erosion control following a breach in November 1944 nor'easter</t>
  </si>
  <si>
    <t>Cuttyhunk Historical Society (2014)</t>
  </si>
  <si>
    <t>federal navigation project with 9,000 cy places material periodically on Jetty, Canapitsit and Church's Beaches</t>
  </si>
  <si>
    <t>Duxbury Beach Reservation (2012), Rosen and FitzGerald (2014)</t>
  </si>
  <si>
    <t>1994, 2001, 2003, 2011 (small dune "repairs" may occur annually)</t>
  </si>
  <si>
    <t>an artificial dune is maintained along an unknown length of Duxbury Beach; first built in 1992 with approximately 80,000 cy of fill to raise a sacrificial dune to a uniform 16 ft NGVD elevation, with sand fencing and approximately 500,000 grass culms planted with 75% of funding from FEMA; second sacrificial dune constructed 1994 with approximately 120,000 cy of fill along with relocation of the roadway to the west and 300,000 grass plantings with majority funding from FEMA; FEMA stopped funding sacrificial dunes on the Reservation after then; most recent dune restoration with fill prior to Hurricane Sandy was in 2011; fill material is from an inland quarry and most recent episodes place a 3-6" veneer of native beach material on top of the fill; 2001 episode restored ~1,250 ft of dune south of High Pines and a much smaller area north of High Pines</t>
  </si>
  <si>
    <t>early 1900s</t>
  </si>
  <si>
    <t>Hornblower (1951)</t>
  </si>
  <si>
    <t>MORIS (2015) - Public Armoring Layer of MA DCR (2009)</t>
  </si>
  <si>
    <t>Howes et al. (2003), MORIS (2015) Public armoring data layer of MA DCR (2009), USACE (2013h)</t>
  </si>
  <si>
    <t>Haddad and Pilkey (1998), MORIS (2015) - Public Armoring Layer of MA DCR (2009)</t>
  </si>
  <si>
    <t>1954 federal project beagan with 522,000 cy along 5,000 ft of beach in an authorized project area from Northern Circle to Shirley Ave; 1991 federal storm and erosion project with 768,000 cy along 15,840 ft</t>
  </si>
  <si>
    <t>Howes et al. (2003), USFWS (2014)</t>
  </si>
  <si>
    <t>1944-1958</t>
  </si>
  <si>
    <t xml:space="preserve">Neel Road beach, Harwich </t>
  </si>
  <si>
    <t>Craigville - Long Beach (East Bay / Centerville River Inlet - Barnstable)</t>
  </si>
  <si>
    <t>page 86  of Howes et al. (2006a) states that private residents have nourished Long Beach, but no details were provided for placement dates, fill volumes or precise project locations</t>
  </si>
  <si>
    <t>see also Draft Environmental Impact Report (DEIR)/Development of Regional Impact. Centerville River Dredging and Craigville Beach Nourishment, Woods Hole Group, Inc. December 2003</t>
  </si>
  <si>
    <t>proposed long-term and "large scale" beach fill project south of Popponesset Bay Inlet; precise project details were not available</t>
  </si>
  <si>
    <t>annually</t>
  </si>
  <si>
    <t>Green Pond Inlet is dredged annually with approx. 1,000 cy or less placed on the beach to the east of the inlet</t>
  </si>
  <si>
    <t>dredge spoil from Green Pond inlet is placed on the beach west of the inlet</t>
  </si>
  <si>
    <t>Bournes Pond Inlet is dredged annually with approx. 1,000 cy or less placed on the beach to the west of the inlet; a new beach fill and dune project was planned as of 2005 but it is unknown whether it was constructed prior to Hurricane Sandy</t>
  </si>
  <si>
    <t>west end near Westport River inlet showed signs of recent fill during state public structures inventory (MA DCR 2009)</t>
  </si>
  <si>
    <t>USACE (2008)</t>
  </si>
  <si>
    <t>Lee (1980), USACE (2008), Suzanne Paton, USFWS, pers. communication, May 20, 2015</t>
  </si>
  <si>
    <t>2004-05</t>
  </si>
  <si>
    <t>2007-08</t>
  </si>
  <si>
    <t>1890 ?</t>
  </si>
  <si>
    <t>historically dredge spoil placed both east and west of inlet; federal navigation project originally authorized in 1890; most recent dredge spoil placed in a nearshore disposal area off Matunuck beaches in South Kingstown ~3 miles to the west; inlet(s) artificially opened on a nearly annual basis since Colonial times</t>
  </si>
  <si>
    <r>
      <rPr>
        <sz val="11"/>
        <rFont val="Calibri"/>
        <family val="2"/>
        <scheme val="minor"/>
      </rPr>
      <t xml:space="preserve">Lee (1980), </t>
    </r>
    <r>
      <rPr>
        <sz val="11"/>
        <rFont val="Calibri"/>
        <family val="2"/>
        <scheme val="minor"/>
      </rPr>
      <t>USACE (2006)</t>
    </r>
  </si>
  <si>
    <t>private project with 25,000 cy along 4,800 ft in 1992; in 2004 the dune was restored; in 2007 fill was placed on the beach and dune; most recent episode of beach fill prior to Hurricane Sandy was in 2011</t>
  </si>
  <si>
    <t>Haddad and Pilkey (1998); RI CRMC Permit IDApp. 2004-03-105, 2007-06-088, and 2011-12-005</t>
  </si>
  <si>
    <t>2004, 2007, 2011</t>
  </si>
  <si>
    <t>state project with 15,615 cy; the former Seaside Regional Center was also known as the Seaside Sanatorium and the Seaside Geriatric Hospital; the medical facility closed in 1996 and in 2014 the state announced the property would become a state park</t>
  </si>
  <si>
    <t>assumed to be the same location as Guilford Point Beach because the pocket beach at Guilford Point itself is less than 300 ft long</t>
  </si>
  <si>
    <t>1957-58</t>
  </si>
  <si>
    <t>federal project along 8,800 ft with 691,000 cy, extending from Breezy Point to the breakwater at Fayerweather Island</t>
  </si>
  <si>
    <t>federal shore protection project along 900 ft with 20,000 cy; a groin was also constructed at the west end of the fill</t>
  </si>
  <si>
    <t>1957 federal project along 6,000 ft with 1.07 mcy; 1983 federal shore protection project along 1800 ft with 113,054 cy; a single groin was built during both projects west of Sherwood Point, and the two training walls at Burial Hill Creek were constructed in the 1956-57 project</t>
  </si>
  <si>
    <t>federal shore protection project along 2,200 ft east of the Point with 94,000 cy</t>
  </si>
  <si>
    <t>federal shore protection project along 1,000 ft with 45,000 cy; the jetty at the west end of the beach and the groin in the center of the beach were also constructed as part of this project</t>
  </si>
  <si>
    <t>federal shore protection project along 700 ft with 22,000 cy; a groin was constructed at the west end of the fill area during the same project</t>
  </si>
  <si>
    <t>federal project with 13,000 cy along 400 ft; a groin was also constructed at the east end of the fill area as part of this project</t>
  </si>
  <si>
    <t>federal navigation project with 353,000 to 560,000 cy of dredged material, presumably from Hempstead Harbor; it is assumed that the beach fill area is North Hempstead Beach Park to the west of the inlet and harbor</t>
  </si>
  <si>
    <t>1959, 1976, 1984, 1987, 1991, 1995, 1996</t>
  </si>
  <si>
    <t>Suffolk County (1985), Town of East Hampton (1999), USACE (2012c)</t>
  </si>
  <si>
    <t>1961, 1965, 1974, 1975, 1996, 1999</t>
  </si>
  <si>
    <t>Suffolk County (1985), Town of East Hampton (1999, 2013)</t>
  </si>
  <si>
    <t>The Town of East Hampton LWRP (1999, p. 168) states that "a few areas" on the Cedar Point spit have received dredge material placement on the beach. Precise project locations, placement dates and fill volumes were not available.</t>
  </si>
  <si>
    <t>1965, 1971, 1995, 1999</t>
  </si>
  <si>
    <t>1975, 1979, 1980, 1981, 1983, 1984</t>
  </si>
  <si>
    <t>1964, 1967, 1972, 1983, 1995</t>
  </si>
  <si>
    <t>Suffolk County (1985), Town of Southold (2011)</t>
  </si>
  <si>
    <t>3/6/12 GE imagery shows piles of sand in front of ranger station like dune construction; also maybe some dune reconstruction work between groins 2 and 3 in park (groins 44 &amp; 45 in Armor Layer for Google Earth) and at SW end of causeway revetment</t>
  </si>
  <si>
    <t>Google Earth 3/6/12 imagery</t>
  </si>
  <si>
    <t>USACE (2012, 2014e)</t>
  </si>
  <si>
    <t>Town of Southold (2011)</t>
  </si>
  <si>
    <t>16,000 cy federal navigation dredge disposal; precise project location(s) were not available</t>
  </si>
  <si>
    <t xml:space="preserve">NOTES:  </t>
  </si>
  <si>
    <t>Proposed projects are shaded in gray</t>
  </si>
  <si>
    <t>unknown</t>
  </si>
  <si>
    <t>Fill Placements prior to 1961 as identified in Haddad and Pilkey (1998)</t>
  </si>
  <si>
    <t>precise project location(s) were not available</t>
  </si>
  <si>
    <t>1959 federal project with 245,000 cy along 4,250 ft</t>
  </si>
  <si>
    <t>MA DEP (2008)</t>
  </si>
  <si>
    <t>see http://threeharbors.com/Harwich%20DEP%20Dredging%20Permits.htm</t>
  </si>
  <si>
    <t>in or by 1995</t>
  </si>
  <si>
    <t>in or by 2001</t>
  </si>
  <si>
    <t>in or by 1994</t>
  </si>
  <si>
    <t>The 401 Water Quality Certification Application for BRP WW07, Major Project Dredging at the Channel of Herring River, Allen Harbor, Wychmere Harbor, Saquatucket Harbor in Harwich / Nantucket Sound lists Wyndemere Bluffs Beach as a site that has received dredge spoil from Allen Harbor; one project permit dates to 1994</t>
  </si>
  <si>
    <t>The Narrows, Edgartown, Martha's Vineyard</t>
  </si>
  <si>
    <t>federal project with beach fill along 1,200 ft of beach and construction of a groin at the southern end; overlaps Pay Beach fill area</t>
  </si>
  <si>
    <t>federal navigation project with unknown volume; dredge spoil from Housatonic River</t>
  </si>
  <si>
    <t>Google Earth imagery from March 6, 2012, shows fill recently placed or in progress at the Point itself, with a revetment and groins on both shorelines</t>
  </si>
  <si>
    <t>County</t>
  </si>
  <si>
    <t>Community</t>
  </si>
  <si>
    <t>Location or Project Name</t>
  </si>
  <si>
    <t>Known First Year of Record</t>
  </si>
  <si>
    <t>Known Additional Fill Episodes through 2015 (not including original)</t>
  </si>
  <si>
    <t>Source(s)</t>
  </si>
  <si>
    <t>Scarborough</t>
  </si>
  <si>
    <t>Cumberland</t>
  </si>
  <si>
    <t>Phippsburg</t>
  </si>
  <si>
    <t>2004-05, 2014, 2015</t>
  </si>
  <si>
    <t>Beach Stakeholders Group (2006), Slovinsky (2006), USACE (2013k), USACE New England District website, Peter Slovinsky, MGS, pers. communication, May 15, 2015</t>
  </si>
  <si>
    <t>Saco</t>
  </si>
  <si>
    <t>Biddeford</t>
  </si>
  <si>
    <t>Kennebunk</t>
  </si>
  <si>
    <t>Wells</t>
  </si>
  <si>
    <t>Ogunquit</t>
  </si>
  <si>
    <t>Pine Point</t>
  </si>
  <si>
    <t>Ferry Beach</t>
  </si>
  <si>
    <t>Hills Beach / Biddeford Pool</t>
  </si>
  <si>
    <t>Gooch's Beach</t>
  </si>
  <si>
    <t>Ogunquit Beach</t>
  </si>
  <si>
    <t>Maximum project length is listed in column E out of all known episode project lengths</t>
  </si>
  <si>
    <t>Haddad and Pilkey (1998), PSDS (2016), Peter Slovinsky, MGS, pers. communication, May 15, 2015</t>
  </si>
  <si>
    <t>Haddad and Pilkey (1998), Beach Stakeholders Group (2006), PSDS (2016), Peter Slovinsky, MGS, pers. communication, May 15, 2015</t>
  </si>
  <si>
    <t>Haddad and Pilkey (1998), PSDS (2016), Beachapedia (www.beachapedia.org)</t>
  </si>
  <si>
    <t>Haddad and Pilkey (1998), PSDS (2016), USACE New England District website</t>
  </si>
  <si>
    <t>PSDS (2016), Beachapedia (www.beachapedia.org)</t>
  </si>
  <si>
    <t>Haddad and Pilkey (1998), PSDS (2016)</t>
  </si>
  <si>
    <t>Haddad and Pilkey (1998), Cuttyhunk Historical Society (2014), PSDS (2016)</t>
  </si>
  <si>
    <t>USACE (2013c), PSDS (2016), USACE New England District website</t>
  </si>
  <si>
    <t>PSDS (2016)</t>
  </si>
  <si>
    <t>Haddad and Pilkey (1998), USACE (2012 - Public Notice dated June 4, 2012), PSDS (2016)</t>
  </si>
  <si>
    <t>Haddad and Pilkey (1998), USACE (2013c), PSDS (2016), USACE New England District website</t>
  </si>
  <si>
    <t>Patton and Kent (1992), Haddad and Pilkey (1998), PSDS (2016), USACE New England District website</t>
  </si>
  <si>
    <t>federal shore protection project along 1,300 ft with 61,000 cy; jetty was also built at the northeast end of the fill area; NOTE USACE New England District website cites 1,200 ft as the project length, while Haddad and Pilkey (1998) and PSDS (2016) cite 1,300 ft</t>
  </si>
  <si>
    <t>Scarborough River federal navigation project authorized 1950; 2004-05 episode dredged 90,000 cy and placed on Western Beach; dredging in 2014-15 placed a total of 114,300 cy of sediment on an unknown length of Western Beach in two phases, early 2014 and the winter of 2014-15.   Precise project location was not available.</t>
  </si>
  <si>
    <t>In 1955 128,099 cy of material from a federal navigation project on the Scarborough River was placed on Pine Point beaches; the 1956 project extended along 0.4 miles at the Point.   Precise project location was not available.</t>
  </si>
  <si>
    <t>In 2009 a dune reconstruction project with a geotube was constructed along 0.2 miles of beach</t>
  </si>
  <si>
    <t>Haddad and Pilkey (1998), Slovinsky and Dickson (2003), Beach Stakeholders Group (2006), USACE (2013d, 2016e), PSDS (2016), Peter Slovinsky, MGS, pers. communication, May 15, 2015</t>
  </si>
  <si>
    <t>Camp Ellis (Saco River Dredged Material Placement)</t>
  </si>
  <si>
    <t>Western Beach  (Scarborough River Dredged Material Placement)</t>
  </si>
  <si>
    <t>Camp Ellis Beach Shoreline Damage Mitigation Project</t>
  </si>
  <si>
    <t>USACE (2013l, 2013m)</t>
  </si>
  <si>
    <t>In 2013 the USACE and the City of Saco proposed a shoreline damage mitigation project at Camp Ellis beach that would place 365,000 cy of sediment from an upland source along 3,250 ft of beach as mitigation for erosion caused by the federal navigation project at the Saco River; the proposed project would also construct a 750 ft spur jetty attached to the north jetty ~1,475 ft from shore and reinforce 400 ft of the existing north jetty; beach renourishment is proposed to place 116,000 - 236,000 cy of sediment on the beach every 12 years</t>
  </si>
  <si>
    <t>Federal navigation dredging of Saco River, dredged volumes range from 7,300 to 90,000 cy; the 1996 episode placed 90,000 cy from the Scarborough River in the nearshore; less than 0.2 miles of beach have received sediment.  In 2016 the USACE proposed to place ~150,000 cy on 450 ft of beach at Camp Ellis during the next dredging episode.</t>
  </si>
  <si>
    <t>Drakes Island (Wells Harbor Dredged Material Placement)</t>
  </si>
  <si>
    <t>In 2000-01, 180,000 cy of material dredged from the federal navigation channel(s) at Wells (Webhannet River) Inlet or Harbor was placed on Drakes Island; precise project location(s) were not available, including the length of fill in 2000-01 on Drakes Island versus Wells Beach.  In 2013 the USACE placed 150,000 cy along 3 placement areas - 2 on Drakes Island and one near Casino Point on Wells Beach; the precise project location(s) and lengths were not available.</t>
  </si>
  <si>
    <t>Material dredged from Wells (Webhannet River) Harbor Navigation Channel is periodically placed on Wells Beach; precise project location(s) were not available, including the length of fill in 2000-01 on Drakes Island versus Wells Beach.  In 2013 the USACE placed 150,000 cy along 3 placement areas - 2 on Drakes Island and one near Casino Point on Wells Beach; the precise project location(s) and lengths were not available.</t>
  </si>
  <si>
    <t>1991, 2000-01, 2013</t>
  </si>
  <si>
    <t>Dickson (2001), Beach Stakeholders Group (2006), USACE (2013c), PSDS (2016), Town of Wells (2013), USACE New England District website, Peter Slovinsky, MGS, pers. communication, May 15, 2015</t>
  </si>
  <si>
    <t>Beach Stakeholders Group (2006); Town of Wells (2013), USACE New England District website, Mark McCollough, USFWS, pers. comm. 5/4/15; Peter Slovinsky, MGS, pers. communication, May 15, 2015</t>
  </si>
  <si>
    <t>Wells Beach (Wells Harbor Dredged Material Placement)</t>
  </si>
  <si>
    <t>Town of Wells (2013), Wigglesworthy (2015)</t>
  </si>
  <si>
    <t>In 2015 the USACE proposed to place 375,000 cy of sediment dredged from the Piscataqua River at the ME-NH border in a nearshore dredged material placement site off Wells Beach; precise project location was not available; the USACE placed sediment dredged from Wells Harbor in the nearshore off Wells Beach in 2002, 2005 and 2012</t>
  </si>
  <si>
    <t>2002, 2005, 2012</t>
  </si>
  <si>
    <t>Wells Beach Nearshore Sediment Placement (Piscataqua River)</t>
  </si>
  <si>
    <t>n/a</t>
  </si>
  <si>
    <t>CONSTRUCTED</t>
  </si>
  <si>
    <t>Sagadahoc</t>
  </si>
  <si>
    <t>York</t>
  </si>
  <si>
    <t>NJ</t>
  </si>
  <si>
    <t>Sandy Hook to Barnegat Inlet Beach Erosion Control Project:  Section 1 - Sea Bright to Ocean Twp.</t>
  </si>
  <si>
    <t>Monmouth Beach</t>
  </si>
  <si>
    <t>Long Branch</t>
  </si>
  <si>
    <t>1945, 1948, 1962, 1963, 1999, 2008-09</t>
  </si>
  <si>
    <t>historically the beach received fill prior to the federal Sandy Hook to Barnegat Inlet Beach Erosion Control Project, Section 1 area, but the federal project area overlaps those previous sites; the 1999 beach fill was along 17,423 ft</t>
  </si>
  <si>
    <t>Federal Beach Erosion Control Project reach initially constructed 1997-1999</t>
  </si>
  <si>
    <t>Bradley Beach</t>
  </si>
  <si>
    <t>Avon-by-the-Sea</t>
  </si>
  <si>
    <t>Belmar</t>
  </si>
  <si>
    <t>1967, 1970, 1972, 1975, 1994, 1997</t>
  </si>
  <si>
    <t>Spring Lake</t>
  </si>
  <si>
    <t>1969, 1970, 1994, 1997, 2002</t>
  </si>
  <si>
    <t>1969 episode from Pitney to St. Clair Ave. (5,167 ft), 1970 episode from Jersey to St. Clair Ave.; 1994 state/local project extended along 1,180 ft of Spring Lake and Belmar beaches</t>
  </si>
  <si>
    <t>Sea Girt</t>
  </si>
  <si>
    <t>1966, 1966, 1978</t>
  </si>
  <si>
    <t>first 1966 episode was sponsored by NJ State Police Academy; 1978 episode extended from Trenton to Boston Blvds. (1,260 ft)</t>
  </si>
  <si>
    <t>Bay Head</t>
  </si>
  <si>
    <t>federal emergency response project from Karge to Johnson St.</t>
  </si>
  <si>
    <t>Lavallette</t>
  </si>
  <si>
    <t>1962, 1963</t>
  </si>
  <si>
    <t>Seaside Heights</t>
  </si>
  <si>
    <t>Grant Ave. to the northern borough boundary</t>
  </si>
  <si>
    <t>Seaside Park</t>
  </si>
  <si>
    <t>1964, 1978</t>
  </si>
  <si>
    <t>Barnegat Light</t>
  </si>
  <si>
    <t>1963, 1966, 1979, 1991</t>
  </si>
  <si>
    <t>1950s</t>
  </si>
  <si>
    <t>Harvey Cedars</t>
  </si>
  <si>
    <t>Barnegat Inlet to Little Egg Inlet:  Long Beach Island -  Harvey Cedars</t>
  </si>
  <si>
    <t>Surf City</t>
  </si>
  <si>
    <t>Ship Bottom</t>
  </si>
  <si>
    <t>second 1956 episode was from 17th to 31st Streets; 1963 episode from 3rd to 31st Streets</t>
  </si>
  <si>
    <t>1961, 1962, 1962, 1997</t>
  </si>
  <si>
    <t>2011-12</t>
  </si>
  <si>
    <t>Beach Haven</t>
  </si>
  <si>
    <t>1963,  1963, 2010</t>
  </si>
  <si>
    <t>1962 project was federal emergency in response to Ash Wednesday Strom to repair and replace 9,670 ft of dune; second 1963 episode placed beach fill along 9,939 ft of beach; in 2010 state and local project built a geotube revetment and used 2,000 cy beach fill to construct an artificial dune on top of it</t>
  </si>
  <si>
    <t>Long Beach Twp.</t>
  </si>
  <si>
    <t>Brigantine Inlet to Great Egg Harbor Inlet Project:  Brigantine Island</t>
  </si>
  <si>
    <t>NJDEP Coastal Engineering Shore Protection Projects website</t>
  </si>
  <si>
    <t>federal shore protection project began 2004 in Atlantic City and Ventnor City, FCCE repair in 2011, renourished 2012; fill mined from Absecon Inlet</t>
  </si>
  <si>
    <t>Longport</t>
  </si>
  <si>
    <t>USFWS (2005)</t>
  </si>
  <si>
    <t>1981, 1982, 1984, 1984, 1992, 2001, 2009</t>
  </si>
  <si>
    <t>Sea Isle City</t>
  </si>
  <si>
    <t>8 episodes to 2009</t>
  </si>
  <si>
    <t>1978 project was from 73rd to 76th Streets and used material mined from Townsends Inlet; 2009 episode from 1st to 15th St. and 40th to 52nd St.; all episodes state/local projects</t>
  </si>
  <si>
    <t>Townsends Inlet to Cape May Inlet Project:  Stone Harbor</t>
  </si>
  <si>
    <t>1968, 2003, 2009, 2011</t>
  </si>
  <si>
    <t>Federal storm protection project began 2003 between 80th and 123rd Streets; 2009 episode was state project from 98th to 111th St.; 2011 episode FCCE repair project</t>
  </si>
  <si>
    <t>North Wildwood</t>
  </si>
  <si>
    <t>1989, 2009</t>
  </si>
  <si>
    <t>all episodes state/local projects; 2009 episode extended from Poplar Ave. to the 2nd Ave. terminal groin, then a taper to Ocean Ave. on the inlet shoulder</t>
  </si>
  <si>
    <t>Cape May Point</t>
  </si>
  <si>
    <t>Montauk</t>
  </si>
  <si>
    <t>USFWS (2014e)</t>
  </si>
  <si>
    <t>Greene (2002)</t>
  </si>
  <si>
    <t>USFWS (2014a, b), USACE NY District website</t>
  </si>
  <si>
    <t>Quogue</t>
  </si>
  <si>
    <t>Suffolk County (2008), USFWS (2014b)</t>
  </si>
  <si>
    <t>Suffolk County-led project to place up to 150,000 cy of dredge disposal from Moriches Inlet along 6,000 ft of beach starting 500 ft east of the jetty; overlaps about 208 ft at the eastern end with the Westhampton Interim Project Area</t>
  </si>
  <si>
    <t>1966, 1969, 1973, 1978, 1998, 2009</t>
  </si>
  <si>
    <t>Greene (2002), Coburn et al. (2010), USFWS (2014b)</t>
  </si>
  <si>
    <t>dredged material placed along adjacent beaches east and west plus the nearshore; 1998 project placed along 2,200 ft beach; precise project location(s) were not available</t>
  </si>
  <si>
    <t>&gt; 50 projects thru 2009</t>
  </si>
  <si>
    <t>Land Use Ecological Services et al. (2008)</t>
  </si>
  <si>
    <t>Appendix B of the Fire Island Community Short-Term Storm Protection Draft EA lists historic beach fill projects on Fire Island totalling 49.7 km (30.88 mi) of the island, virtually its entire length</t>
  </si>
  <si>
    <t>1996, 2007, 2009</t>
  </si>
  <si>
    <t>USACE (1963), Land Use Ecological Ecological Services et al. (2008)</t>
  </si>
  <si>
    <t>1962 Operation Five-High extended along ~3,600 ft of beach</t>
  </si>
  <si>
    <t>2007, 2009</t>
  </si>
  <si>
    <t>USACE (1963), Land Use Ecological Ecological Services et al. (2008), Coburn et al. (2010), CPE (2009a)</t>
  </si>
  <si>
    <t>1962 Operation Five-High extended along ~2,800 ft of beach; 2007 project was FEMA funded with upland source material barged in 25,460 cy to island</t>
  </si>
  <si>
    <t>USACE (1963), Greene (2002), Land Use Ecological Ecological Services et al. (2008)</t>
  </si>
  <si>
    <t>1962 Operation Five-High extended along ~2,000 ft of beach; 1996 episode a local/private project along 1,000 ft of beach</t>
  </si>
  <si>
    <t>1993, 1996-97, 2003-04</t>
  </si>
  <si>
    <t>1962 Operation Five-High extended along ~7,400 ft of beach and rebuilt 5,800 ft of dunes; private erosion control project with 133,800 cy in 1993-94 along 6,400 ft of beach; 650,000 cy in 1996-97; 560,840 cy in 2004</t>
  </si>
  <si>
    <t>9,900 (overlaps)</t>
  </si>
  <si>
    <t>1993-94</t>
  </si>
  <si>
    <t>1962 Operation Five-High extended along ~19,200 ft of beach from Kismet to the western boundary of Point O'Woods; approximately 382,600 cy fill in 1993-94</t>
  </si>
  <si>
    <t>overlaps</t>
  </si>
  <si>
    <t>2003-04, 2009</t>
  </si>
  <si>
    <t>Land Use Ecological Ecological Services et al. (2008), Coburn et al. (2010), CPE (2009a)</t>
  </si>
  <si>
    <t>Ocean Beach</t>
  </si>
  <si>
    <t>1993-94, 2003-04, 2009</t>
  </si>
  <si>
    <t>1992, 1993, 1994, 2002, 2004</t>
  </si>
  <si>
    <t>1946-1959</t>
  </si>
  <si>
    <t>more than 1 mcy placed on Oak Beach 1946- 1959 after the Fire Island Inlet jetty increased downdrift erosion after construction 1939-1941; precise project location(s) were not available</t>
  </si>
  <si>
    <t>1.1 mcy were dredged from the Fire Island Inlet ebb shoal to construct the half mile long sore thumb dike in 1959</t>
  </si>
  <si>
    <t>1926-27</t>
  </si>
  <si>
    <t>40 mcy of material dredged from South Oyster Bay to build a ridge along Jones Beach as construction for the State Park at 14 feet above sea level; dredging project was immense and created the State Boat Channel; navigation disposal along 1,000 ft of beach in 1973, 1990</t>
  </si>
  <si>
    <t>federal emergency project with 200,000 cy in 1962 (PSDS says volume was 200,000 cy, CPE says volume was 40,000 cy)</t>
  </si>
  <si>
    <t>Jacob Riis Park</t>
  </si>
  <si>
    <t>1922-23</t>
  </si>
  <si>
    <t>DE</t>
  </si>
  <si>
    <t>1962 federal emergency project along 5,000 ft of beach; 1998 episode was 274,300 cy state project along 2,750 ft of beach</t>
  </si>
  <si>
    <t>NMFS (2014)</t>
  </si>
  <si>
    <t>Dewey Beach</t>
  </si>
  <si>
    <t>1962, 1993, 1994, 1994, 1998</t>
  </si>
  <si>
    <t>1957 and 1962 episodes were federal; 1993 state project along 3,550 ft of beach; one 1994 episode was federal along 1,385 ft of beach, the other 1994 episode state along 6,000 ft of beach; 1998 episode was 453,500 cy state / FEMA project along 6,095 ft of beach</t>
  </si>
  <si>
    <t>annually, 1992</t>
  </si>
  <si>
    <t>Bethany Beach</t>
  </si>
  <si>
    <t>1962, 1989, 1992, 1994, 1998</t>
  </si>
  <si>
    <t>Bethany Beach &amp; South Bethany</t>
  </si>
  <si>
    <t>Sea Colony (Bethany Beach)</t>
  </si>
  <si>
    <t>1998 episode was 128,000 cy private project</t>
  </si>
  <si>
    <t>South Bethany</t>
  </si>
  <si>
    <t>1989, 1992, 1994, 1998</t>
  </si>
  <si>
    <t>Fenwick Island</t>
  </si>
  <si>
    <t>1988, 1991, 1992, 1992 (3x), 1994, 1998</t>
  </si>
  <si>
    <t>USACE (2000), NMFS (2014)</t>
  </si>
  <si>
    <t>MD</t>
  </si>
  <si>
    <t>Ocean City</t>
  </si>
  <si>
    <t>1988, 1990-94</t>
  </si>
  <si>
    <t>the Ackerman / Ocean Beach Club constructed an artificial foredune along 21.1 miles of Assateague Island, both MD and VA portions, in 1950 and then rebuilt it in 1963 following the Ash Wednesday Storm of 1962</t>
  </si>
  <si>
    <t>Artificial dune constructed for migratory waterfowl management by the USFWS initially built 1963 from Green Run/Fox Hills (in MD) to the southern tip of Assateague Island for a total project length of 21.85 miles; 7.55 miles of this project area were in MD</t>
  </si>
  <si>
    <t>Assateague Island</t>
  </si>
  <si>
    <t>Schupp et al. (2013, 2014)</t>
  </si>
  <si>
    <t>Beach fill to mitigate downdrift erosion impacts from the Ocean City Inlet jetties from 1.2-7.5 miles (2 to 12.5 km) south of the inlet; offshore source</t>
  </si>
  <si>
    <t>Assateague Island NS Sediment Bypassing</t>
  </si>
  <si>
    <t>twice annually</t>
  </si>
  <si>
    <t>Greene (2002), Krantz et al. (2009), Schupp et al. (2013, 2014)</t>
  </si>
  <si>
    <t>Sediment bypassing twice annually since 2004 with placement in surf zone and/or nearshore from 1.5 to 3.1 (2.5 - 5 km) south of the inlet</t>
  </si>
  <si>
    <t>2001-02</t>
  </si>
  <si>
    <t>VA</t>
  </si>
  <si>
    <t>Wallops Island</t>
  </si>
  <si>
    <t>King et al. (2010), BOEM (2013)</t>
  </si>
  <si>
    <t>beach fill along Wallops Island built April to August 2012 just prior to Sandy landfall; also extended seawall 1,415 ft south, replacing some of geotube revetment with rock seawall</t>
  </si>
  <si>
    <t>King et al. (2010)</t>
  </si>
  <si>
    <t>Ash Wednesday Storm of 1962 cut a new inlet at the south end of Wallops Island, which was artificially closed with fill; southern end of the fill at present-day South Camera Stand</t>
  </si>
  <si>
    <t>Virginia Beach</t>
  </si>
  <si>
    <t>Annually since 1951</t>
  </si>
  <si>
    <t>Operation Five-High length is 12.59 miles with unknown boundaries; current projects total 8.66 miles (34%)</t>
  </si>
  <si>
    <t>NOTES</t>
  </si>
  <si>
    <t>Total Known Length of Sandy Beaches Modified by Sediment Placement as of 2015 (miles)</t>
  </si>
  <si>
    <t>PROPOSED Length of Sandy Beaches to be Modified by Sediment Placement as of 2015 (miles)</t>
  </si>
  <si>
    <t>POTENTIAL Length of Sandy Beaches Modified by Sediment Placement as of 2015 (miles)</t>
  </si>
  <si>
    <t>NC</t>
  </si>
  <si>
    <t>NY - Atlantic</t>
  </si>
  <si>
    <t>Length of Sandy Beach in 2015 (miles)</t>
  </si>
  <si>
    <t>Proportion of Sandy Beaches Modified by Sediment Placement as of 2015</t>
  </si>
  <si>
    <t>6.30 +</t>
  </si>
  <si>
    <t>1.37 +</t>
  </si>
  <si>
    <t>7.02 +</t>
  </si>
  <si>
    <t>6.64 +</t>
  </si>
  <si>
    <t>&gt; 13%</t>
  </si>
  <si>
    <t>&gt; 14%</t>
  </si>
  <si>
    <t>&gt; 4%</t>
  </si>
  <si>
    <t>&gt; 15%</t>
  </si>
  <si>
    <t>&gt; 5%</t>
  </si>
  <si>
    <t>Rockingham</t>
  </si>
  <si>
    <t>Rye</t>
  </si>
  <si>
    <t>2012-13</t>
  </si>
  <si>
    <t>1955, 1965, 1972, 1987, 2011, 2012-13</t>
  </si>
  <si>
    <t>Hampton</t>
  </si>
  <si>
    <r>
      <rPr>
        <sz val="11"/>
        <rFont val="Calibri"/>
        <family val="2"/>
        <scheme val="minor"/>
      </rPr>
      <t>Haddad and Pilkey (1998),</t>
    </r>
    <r>
      <rPr>
        <sz val="11"/>
        <color rgb="FFFF0000"/>
        <rFont val="Calibri"/>
        <family val="2"/>
        <scheme val="minor"/>
      </rPr>
      <t xml:space="preserve"> </t>
    </r>
    <r>
      <rPr>
        <sz val="11"/>
        <rFont val="Calibri"/>
        <family val="2"/>
        <scheme val="minor"/>
      </rPr>
      <t>USACE (2013c), Pease Development Authority (2015), USACE New England District website</t>
    </r>
  </si>
  <si>
    <t>NHFG (2006), USACE (2013c), Pease Development Authority (2015), USACE New England District website</t>
  </si>
  <si>
    <t>Seabrook has received dredge spoil from Hampton River Inlet / Hampton Harbor dredging, but precise project location(s) and placement dates prior to 2012 were not available; in 2012-13 the USACE placed 167,947 cy was placed on Hampton Beach and Seabrook Beach</t>
  </si>
  <si>
    <t>USACE federal shore protection project began in 1955 along 6,450 ft of beach; dredge spoil from Hampton River Inlet / Hampton Harbor dredging with volumes ranging from 21,000 to 400,000 cy; a 1935 state project placed 1 mcy; NOTE that the northern ~1,200 ft of the project area has a revetment along Ocean Blvd with no beach in 2011-15</t>
  </si>
  <si>
    <t>and/or Rice (2017) - "Inventory of Habitat Modifications to Sandy Oceanfront Beaches in the U.S. Atlantic Coast Breeding Range of the Piping Plover (Charadrius melodus) as of 2015:  Maine to North Carolina"</t>
  </si>
  <si>
    <r>
      <t>References are in the accompanying reports, Rice (2015) - "Inventory of Habitat Modifications to Sandy Beaches in the U.S. Atlantic Coast Breeding Range of the Piping Plover (</t>
    </r>
    <r>
      <rPr>
        <b/>
        <i/>
        <sz val="11"/>
        <rFont val="Calibri"/>
        <family val="2"/>
        <scheme val="minor"/>
      </rPr>
      <t>Charadrius melodus</t>
    </r>
    <r>
      <rPr>
        <b/>
        <sz val="11"/>
        <rFont val="Calibri"/>
        <family val="2"/>
        <scheme val="minor"/>
      </rPr>
      <t>) prior to Hurricane Sandy:  Maine to the North Shore and Peconic Estuary of New York"</t>
    </r>
  </si>
  <si>
    <r>
      <t>References are in the accompanying reports, Rice (2015) - "Inventory of Habitat Modifications to Sandy Oceanfront Beaches in the U.S. Atlantic Coast Breeding Range of the Piping Plover (</t>
    </r>
    <r>
      <rPr>
        <b/>
        <i/>
        <sz val="11"/>
        <rFont val="Calibri"/>
        <family val="2"/>
        <scheme val="minor"/>
      </rPr>
      <t>Charadrius melodus</t>
    </r>
    <r>
      <rPr>
        <b/>
        <sz val="11"/>
        <rFont val="Calibri"/>
        <family val="2"/>
        <scheme val="minor"/>
      </rPr>
      <t>) prior to Hurricane Sandy:  South Shore of Long Island to Virginia"</t>
    </r>
  </si>
  <si>
    <t>Salisbury</t>
  </si>
  <si>
    <t>Newbury</t>
  </si>
  <si>
    <t>Rockport (Gloucester)</t>
  </si>
  <si>
    <t>Beverly</t>
  </si>
  <si>
    <t>Revere</t>
  </si>
  <si>
    <t>Winthrop</t>
  </si>
  <si>
    <t>Boston</t>
  </si>
  <si>
    <t>Quincy</t>
  </si>
  <si>
    <t>Weymouth</t>
  </si>
  <si>
    <t>Hull</t>
  </si>
  <si>
    <t>Cohasset</t>
  </si>
  <si>
    <t>Scituate</t>
  </si>
  <si>
    <t>Marshfield</t>
  </si>
  <si>
    <t>Duxbury</t>
  </si>
  <si>
    <t>Plymouth</t>
  </si>
  <si>
    <t>Sandwich</t>
  </si>
  <si>
    <t>Dennis</t>
  </si>
  <si>
    <t>Chatham</t>
  </si>
  <si>
    <t>Harwich</t>
  </si>
  <si>
    <t>Barnstable</t>
  </si>
  <si>
    <t>Mashpee</t>
  </si>
  <si>
    <t>Falmouth</t>
  </si>
  <si>
    <t>Wareham</t>
  </si>
  <si>
    <t>New Bedford</t>
  </si>
  <si>
    <t>Westport</t>
  </si>
  <si>
    <t>Gosnold</t>
  </si>
  <si>
    <t>Oak Bluffs</t>
  </si>
  <si>
    <t>Edgartown</t>
  </si>
  <si>
    <t>Nantucket</t>
  </si>
  <si>
    <t>Chilmark</t>
  </si>
  <si>
    <t>Essex</t>
  </si>
  <si>
    <t>Suffolk</t>
  </si>
  <si>
    <t>Norfolk</t>
  </si>
  <si>
    <t>Bristol</t>
  </si>
  <si>
    <t>Dukes</t>
  </si>
  <si>
    <t>Driftway Street</t>
  </si>
  <si>
    <t>Broadway Road</t>
  </si>
  <si>
    <t>Ocean to Vermont Streets</t>
  </si>
  <si>
    <t>Plum Island Boulevard access ramp</t>
  </si>
  <si>
    <t>Plum Island Beach</t>
  </si>
  <si>
    <t>Dartmouth Way access ramp</t>
  </si>
  <si>
    <t>Long Beach</t>
  </si>
  <si>
    <t>Lyons Park Beach</t>
  </si>
  <si>
    <t>federal project with 172,000 cy along 2,600 ft; precise project location not available</t>
  </si>
  <si>
    <t>Precise project location was not available.</t>
  </si>
  <si>
    <t>1953 federal project along 4,000 ft with 56,000 cy; 1973 federal shore protection project along 800 ft with 43,760 cy; 1987 federal navigation project with 156,000 cy; 2010 federal navigation dredge spoil placement.   Precise project locations were not available.</t>
  </si>
  <si>
    <t>A 1953 state project placed 100,000 cy along 2,300 ft; 1957 federal navigation project placed 36,000 cy along 1,500 ft; 2010 episode was a portion of the dredged material from the Merrimack River inlet federal navigation channel, with the majority of the material deposited on Plum Island and a smaller portion on Salisbury Beach.   Precise project locations were not available.</t>
  </si>
  <si>
    <t>Pleasure Bay Beach</t>
  </si>
  <si>
    <t>MA DCR (2015)</t>
  </si>
  <si>
    <t>2013, 2014</t>
  </si>
  <si>
    <t>2013-14</t>
  </si>
  <si>
    <t>2012, 2014-15</t>
  </si>
  <si>
    <t>USACE (2013e), USACE (2014w)</t>
  </si>
  <si>
    <t>dredged material from Cohasset Inlet federal channel dredging has been placed both in the nearshore and on the beach at Sandy Beach</t>
  </si>
  <si>
    <t>Wessagussett Beach</t>
  </si>
  <si>
    <t>Sandy Beach</t>
  </si>
  <si>
    <t>North Scituate Beach</t>
  </si>
  <si>
    <t>Green Harbor</t>
  </si>
  <si>
    <t>Rexhame Beach</t>
  </si>
  <si>
    <t>2013, 2015</t>
  </si>
  <si>
    <t>Funderburk (2016)</t>
  </si>
  <si>
    <t>Barnstable County and the Town of Marshfield placed material dredged from the South River on Rexhame Beach in 2007, 2013 and 2015. Precise placement locations and volumes were not available.</t>
  </si>
  <si>
    <t>Town Beach</t>
  </si>
  <si>
    <t>Town Neck Beach</t>
  </si>
  <si>
    <t>In 2015 the Town of Sandwich proposed to place ~388,000 cy of sediment along 5,000 ft of beach, using sediment from either upland or dredged sources. Sediment was placed along an unknown portion of the proposed project area in January 2016.</t>
  </si>
  <si>
    <t>USACE (2015w), Brennan (2016)</t>
  </si>
  <si>
    <t>Sandwich Town Beach and Dune Restoration Project</t>
  </si>
  <si>
    <t>106 to 114 Salt Marsh Rd</t>
  </si>
  <si>
    <t>100 Salt Marsh Rd</t>
  </si>
  <si>
    <t>88 to 96 Salt Marsh Rd</t>
  </si>
  <si>
    <t>52 &amp; 54 Salt Marsh Rd</t>
  </si>
  <si>
    <t>34 Salt Marsh Rd</t>
  </si>
  <si>
    <t>26 &amp; 28 Salt Marsh Rd</t>
  </si>
  <si>
    <t>4 to 12 Salt Marsh Rd</t>
  </si>
  <si>
    <t>55 to 81 Salt Marsh Rd</t>
  </si>
  <si>
    <t>83 to 93 Salt Marsh Rd</t>
  </si>
  <si>
    <t>97 &amp; 99 Salt Marsh Rd</t>
  </si>
  <si>
    <t>Google Earth (2016) imagery 5/23/2015</t>
  </si>
  <si>
    <t>Google Earth (2016) imagery 5/23/2015 &amp; 5/10/2016</t>
  </si>
  <si>
    <t>Google Earth imagery suggests that sediment from an upland source was placed at the base of the embankment along this section of beach in early 2015.</t>
  </si>
  <si>
    <t>Sesuit Harbor Dredged Material Placement</t>
  </si>
  <si>
    <t>2013, 2014, 2015</t>
  </si>
  <si>
    <t>Haddad and Pilkey (1998), Barnstable County (2013, 2014, 2015), PSDS (2016)</t>
  </si>
  <si>
    <t xml:space="preserve">Federal navigation project with 27,000 cy in 1988.  Barnstable County also periodically dredges the channels in Sesuit Harbor and its inlet, placing the dredged material on an unknown length of beach, placing deredged material on the beach in 2013, 2014 and 2015 and likely several years before as well. </t>
  </si>
  <si>
    <t>Brewster</t>
  </si>
  <si>
    <t>322 Robbins Hill Rd</t>
  </si>
  <si>
    <t>298 to 254 Robbins Hill Rd</t>
  </si>
  <si>
    <t>196 Robbins Hill Rd to Saint's Landing</t>
  </si>
  <si>
    <t>211 Cemetery Rd to 91 Carver Rd</t>
  </si>
  <si>
    <t>295 Wauquanesit Dr</t>
  </si>
  <si>
    <t>112 Governor Prence Rd</t>
  </si>
  <si>
    <t>44 Governor Prence Rd</t>
  </si>
  <si>
    <t>306 Breakwater Rd (west)</t>
  </si>
  <si>
    <t>306 Breakwater Rd (east)</t>
  </si>
  <si>
    <t>282 Breakwater Rd</t>
  </si>
  <si>
    <t>Breakwater Landing Beach</t>
  </si>
  <si>
    <t>Truro</t>
  </si>
  <si>
    <t>Pamet River Dredged Material Placement</t>
  </si>
  <si>
    <t>Barnstable County (2013, 2014, 2015)</t>
  </si>
  <si>
    <t>Barnstable County periodically dredges the channels in the Pamet River and its inlet, placing the dredged material on an unknown adjacent beach.</t>
  </si>
  <si>
    <t>Mill Creek Dredged Material Placement</t>
  </si>
  <si>
    <t>Cockle Cove Beach</t>
  </si>
  <si>
    <t>Hardings Beach</t>
  </si>
  <si>
    <t>Chatham Harbor Dredged Material Placement</t>
  </si>
  <si>
    <t>USACE (2013ii)</t>
  </si>
  <si>
    <t>Town of Chatham's Comprehensive Dredging and Disposal Project shows 425 ft disposal area on the east side of Mill Creek, plus a 640 ft long beach cut immediately west of the west terminal groin to bypass material.</t>
  </si>
  <si>
    <t>Saquatucket Bluffs</t>
  </si>
  <si>
    <t>1999, 2006, 2014, 2015</t>
  </si>
  <si>
    <t>Barnstable County (2014, 2015), Town of Harwich Dredging website</t>
  </si>
  <si>
    <t xml:space="preserve">The Town of Harwich periodically places sediment dredged from navigation channels in Wychmere Harbor on the beach at Saquatucket Bluffs.  40,000 cy of dredged material was placed on the beach in 1999 and 10,000 cy in 2006.  An unknown volume of material was dredged from Saquatucket Harbor by Barnstable County and placed on an unknown adjacent beach in 2014 and 2015.  Precise project locations were not available.  </t>
  </si>
  <si>
    <t>Saquatucket West (Mill Road) Dredged Material Placement</t>
  </si>
  <si>
    <t>2000, 2014, 2015</t>
  </si>
  <si>
    <t xml:space="preserve">The Town of Harwich periodically places sediment dredged from Squatucket Harbor on the beach west of the inlet near Mill Road. Known sediment placement episodes occurred in 1995 and 2000. An unknown volume of material was dredged from Saquatucket Harbor by Barnstable County and placed on an unknown adjacent beach in 2014 and 2015. Fill volumes and precise project locations were not available. </t>
  </si>
  <si>
    <t>Wyndemere Bluffs Road Beach</t>
  </si>
  <si>
    <t>Wah-Wah Taysee Road to Cottage Avenue</t>
  </si>
  <si>
    <t>Brook Road Beach</t>
  </si>
  <si>
    <t>Patricia Lane Beach</t>
  </si>
  <si>
    <t>Earle Road Beach</t>
  </si>
  <si>
    <t>Gray Neck Road Beach</t>
  </si>
  <si>
    <t>Pleasant Road Beach</t>
  </si>
  <si>
    <t>Dowses Beach</t>
  </si>
  <si>
    <t>Howes et al. (2006a), Barnstable County (2014)</t>
  </si>
  <si>
    <t>30,000 cy of sediment dredged from East Bay (Centerville River) Inlet was placed on the west end of Dowses Beach in 1971. Barnstable County periodically dredges the Centerville River and its associated channels and places dredged material along nearby beaches, including in 2014. Precise project locations were not available. </t>
  </si>
  <si>
    <t>Haddad and Pilkey (1998), Howes et al. (2006b), USACE (2015x), PSDS (2016)</t>
  </si>
  <si>
    <t>Since 1953 sediment dredged from both Cotuit and West Bay Inlets navigation channels has been placed on eastern Dead Neck as beach fill material, along up to 2,400 ft of beach west of the West Bay jetty. In 1985, 120,000 cy of sediment was placed on the beach. In a two phase project in 1999 and 2000, 212,400 cy of sediment was placed along the beach. In 2015 Three Bays Preservation and Mass Audubon proposed to place 133,600 cy of sediment dredged from the inlet to Cotuit Bay and the west tip of the island along the previously-authorized placement area at the east end of the island.</t>
  </si>
  <si>
    <t>Dead Neck</t>
  </si>
  <si>
    <t>Sampsons Island</t>
  </si>
  <si>
    <t>Popponesset Spit Dredged Material Placement</t>
  </si>
  <si>
    <t>The Town of Mashpee periodically places material dredged from nearby channels along the Popponesset spit.  The Town of Mashpee Comprehensive Dredging and Disposal Project requested a 10-year renewal from the USACE in December 2015.  Barnstable County dredged Popponesset Bay channels in 2013, 2014 and 2015 and the dredged material was assumed to be placed along this placement area.</t>
  </si>
  <si>
    <t>Howes et al. (2004), Barnstable County (2013, 2014, 2015), USACE (2015y)</t>
  </si>
  <si>
    <t>South Cape Beach</t>
  </si>
  <si>
    <t>Howes et al. (2005), USACE (2013hh), Barnstable County (2014, 2015)</t>
  </si>
  <si>
    <t>Green Pond - Pyne Trustees Beach</t>
  </si>
  <si>
    <t>Green Pond - Acapesket Association Beach</t>
  </si>
  <si>
    <t>Howes et al. (2005), Barnstable County (2009, 2010, 2011, 2012, 2014)</t>
  </si>
  <si>
    <t>Little Pond - Falmouth Dredged Material Placement</t>
  </si>
  <si>
    <t>Great Pond - Falmouth Dredged Material Placement</t>
  </si>
  <si>
    <t>Falmouth Heights Beach</t>
  </si>
  <si>
    <t>Point Independence Beach</t>
  </si>
  <si>
    <t>Onset Beach</t>
  </si>
  <si>
    <t>Onset Beach - West</t>
  </si>
  <si>
    <t>East Beach, Clark Point</t>
  </si>
  <si>
    <t>Clark Point Beach, west of Clark Point</t>
  </si>
  <si>
    <t>Horseneck Beach State Reservation</t>
  </si>
  <si>
    <t>The Towns of Oak Bluffs and Edgartown periodically places dredged or mined material from Sengekontacket Pond on Pay Beach; overlaps 1973 Oak Bluffs Town Beach fill area.  In 2015, the Town of Oak Bluffs placed ~6,800 cy of material excavated from the artificial reopening of North Inlet along Pay Beach.</t>
  </si>
  <si>
    <t>Woods Hole Group (2012), USACE (2013gg, 2014v), Dukes County (2015b), Hull (2015)</t>
  </si>
  <si>
    <t>The Town of Oak Bluffs proposed to place dredged material from North Inlet at Sengekontacket Pond along Pay Beach, Inkwell Beach, and/or Joseph Slyvia SP beach in 2013.  Inkwell Beach also periodically receives sediment placement by the Town of Edgartown.</t>
  </si>
  <si>
    <t>periodic</t>
  </si>
  <si>
    <t>USACE (2014v), Woods Hole Group (2012)</t>
  </si>
  <si>
    <t xml:space="preserve">The Town of Edgartown dredges the inlets into, channels within and borrow site(s) in Sengekontacket Pond and places the sediment on Bend in the Road Beach. </t>
  </si>
  <si>
    <t>The Town of Edgartown dredges the inlets into, channels within and borrow site(s) in Sengekontacket Pond and places the sediment on Cow Bay Beach.</t>
  </si>
  <si>
    <t xml:space="preserve">The Town of Edgartown dredges Eel Pond and/or Edgartown Harbor and places dredge spoil on the Froelich property periodically. </t>
  </si>
  <si>
    <t xml:space="preserve">The Town of Edgartown dredges Eel Pond and/or Edgartown Harbor and places dredge spoil on the Eel Pond spit periodically. </t>
  </si>
  <si>
    <t>The Town of Edgartown dredges Eel Pond and/or Edgartown Harbor and places dredge spoil on Lighthouse (Fuller) Beach periodically.</t>
  </si>
  <si>
    <t>The Town of Edgartown dredges Cape Poge Bay and periodically places dredged material on two sections of North Gut beach.</t>
  </si>
  <si>
    <t>The Town of Edgartown dredges Cape Poge Bay and periodically places dredged material on both shorelines of Cape Poge Elbow, for a total of ~4,450 ft of beach.</t>
  </si>
  <si>
    <t>The Town of Edgartown dredges The Narrows and periodically places dredged material on The Narrows beach.</t>
  </si>
  <si>
    <t>The Narrows - Over Sand Roads</t>
  </si>
  <si>
    <t>Dike Bridge Over Sand Roads</t>
  </si>
  <si>
    <t>The Town of Edgartown dredges Great Pond and periodically places dredge spoil on South Beach.</t>
  </si>
  <si>
    <t>Menemsha Creek Dredged Material Placement, Martha's Vineyard</t>
  </si>
  <si>
    <t>Nantucket Harbor Dredged Material Placement</t>
  </si>
  <si>
    <t>The Town of Edgartown dredges The Narrows and periodically places dredged material on the Over Sand Roads at The Narrows.  The placement area is located on the bayside of the barrier spit.</t>
  </si>
  <si>
    <t>The Town of Edgartown dredges the channel approach to Dike Bridge and periodically places dredged material on the Dike Bridge Over Sand Roads.  The placement area is located on the bayside and interior of the barrier spit.</t>
  </si>
  <si>
    <t>Chillmark &amp; Aquinnah</t>
  </si>
  <si>
    <t>Lobsterville Beach Dredged Material Placement</t>
  </si>
  <si>
    <t>USACE (2014x)</t>
  </si>
  <si>
    <t>The USACE initiated maintenance dredging of the federal navigation channel at Menemsha Creek in December 2015; construction stopped in February 2016 and was anticipated to start again in October 2016.  The dredged material was placed on Lobsterville Beach to the southwest.</t>
  </si>
  <si>
    <t>Tisbury</t>
  </si>
  <si>
    <t>Lake Tashmoo Dredged Material Placement</t>
  </si>
  <si>
    <t>Vineyard Haven Harbor Dredged Material Placement</t>
  </si>
  <si>
    <t>Barnstable County (2014)</t>
  </si>
  <si>
    <t>Barnstable County periodically dredges the channels in Lake Tashmoo and its inlet, placing the dredged material on an unknown length of adjacent beach.</t>
  </si>
  <si>
    <t>Barnstable County periodically dredges the channels in Vineyard Haven Harbor, placing the dredged material on an unknown length of adjacent beach.</t>
  </si>
  <si>
    <t>Dredged material (30,200 cy) from the federal navigation channel at Menemsha Creek Inlet was placed east of the inlet in 1973. The precise project length was not available but known to start 100 ft northeast of the inlet jetty. Dredging of the federal channel in 2015-16 placed the material at Lobsterville Beach to the southwest.</t>
  </si>
  <si>
    <t>Eel River Dredged Material Placement</t>
  </si>
  <si>
    <t>Barnstable County (2013, 2015)</t>
  </si>
  <si>
    <t>Barnstable County periodically dredges the channels in the Eel River and its inlet, placing the dredged material on an unknown length of adjacent beach.</t>
  </si>
  <si>
    <t>1999-00, 2001, 2002, 2013</t>
  </si>
  <si>
    <t>Yarmouth</t>
  </si>
  <si>
    <t>Parkers River Dredged Material Placement</t>
  </si>
  <si>
    <t>Barnstable County periodically dredges the channels in the Parkers River and its inlet, placing the dredged material on an unknown length of adjacent beach.</t>
  </si>
  <si>
    <t>Bass River Dredged Material Placement</t>
  </si>
  <si>
    <t>Barnstable County periodically dredges the channels in the Bass River and its inlet, placing the dredged material on an unknown length of adjacent beach.</t>
  </si>
  <si>
    <t>Dennis &amp; Yarmouth</t>
  </si>
  <si>
    <t>Swan Pond Dredged Material Placement</t>
  </si>
  <si>
    <t>Barnstable County periodically dredges the channels in Allen Harbor and its inlet, placing the dredged material on an unknown length of adjacent beaches.</t>
  </si>
  <si>
    <t>Barnstable County periodically dredges the channels in the Herring River and its inlet, placing the dredged material on an unknown length of adjacent beach at Pleasant Road.</t>
  </si>
  <si>
    <t>Barnstable County (2015)</t>
  </si>
  <si>
    <t>Barnstable County periodically dredges the channels in the Swan Pond and its inlet, placing the dredged material on an unknown length of adjacent beach.</t>
  </si>
  <si>
    <t>1974, 2001, 2013</t>
  </si>
  <si>
    <t>Haddad and Pilkey (1998), Barnstable County (2013), Town of Harwich Dredging website</t>
  </si>
  <si>
    <t>2007, 2013, 2014</t>
  </si>
  <si>
    <t>Barnstable County (2013, 2014), Town of Harwich Dredging website</t>
  </si>
  <si>
    <t>MA DCR (2009) identified a sediment placement area in this location.  Precise placement dates and volumes were not available.</t>
  </si>
  <si>
    <t>Artificial dune and fill area seaward of a parking area.  MA DCR (2009) identified a sediment placement area in this location.  Precise placement dates and volumes were not available.</t>
  </si>
  <si>
    <t>The Town of Mashpee's Comprehensive Dredging and Nourishment Project proposed renewal of the periodic placement of dredged material along South Cape Beach in December 2015.  The Town of Falmouth has previously placed sediment along South Cape Beach.</t>
  </si>
  <si>
    <t>USACE (2013b, 2015y)</t>
  </si>
  <si>
    <t>CONSTRUCTED (minimum)</t>
  </si>
  <si>
    <t>Dare</t>
  </si>
  <si>
    <t>Duck</t>
  </si>
  <si>
    <t>Town of Duck Shore Protection Project</t>
  </si>
  <si>
    <t>Town of Kitty Hawk Shore Protection Project</t>
  </si>
  <si>
    <t>Kill Devil Hills</t>
  </si>
  <si>
    <t>Town of Kill Devil Hills Shore Protection Project</t>
  </si>
  <si>
    <t>Kitty Hawk, Kill Devil Hills and Nags Head</t>
  </si>
  <si>
    <t>Dare County Beaches, NC, (Bodie Island Portion) Storm Damage Reduction Project</t>
  </si>
  <si>
    <t>Rodanthe</t>
  </si>
  <si>
    <t>NC DOT "S-Curves" Beach Nourishment Project</t>
  </si>
  <si>
    <t>Hatteras and Ocracoke Islands</t>
  </si>
  <si>
    <t>Dare County Beaches, NC (Hatteras and Ocracoke Islands) CSDR Project</t>
  </si>
  <si>
    <t>up to 52,800</t>
  </si>
  <si>
    <t>up to 10</t>
  </si>
  <si>
    <t>Buxton</t>
  </si>
  <si>
    <t>Beach Restoration to Protection NC 12</t>
  </si>
  <si>
    <t>Carteret</t>
  </si>
  <si>
    <t>Fort Macon SP</t>
  </si>
  <si>
    <t>Beaufort Inlet Dredged Material Placement</t>
  </si>
  <si>
    <t>Pine Knoll Shores</t>
  </si>
  <si>
    <t>Hurricane Irene Emergency Repairs</t>
  </si>
  <si>
    <t>Emerald Isle</t>
  </si>
  <si>
    <t>Bogue Banks</t>
  </si>
  <si>
    <t>Bogue Banks Coastal Storm Damage Reduction (CSDR) Project</t>
  </si>
  <si>
    <t>Bogue Inlet / AIWW Crossing Dredged Material Placement</t>
  </si>
  <si>
    <t>Onslow</t>
  </si>
  <si>
    <t>North Topsail Beach</t>
  </si>
  <si>
    <t>Onslow County Navigation Project</t>
  </si>
  <si>
    <t>North Topsail Beach Shoreline Protection Project, Phase 1</t>
  </si>
  <si>
    <t>North Topsail Beach Shoreline Protection Project, Phase 2</t>
  </si>
  <si>
    <t>North Topsail Beach Shoreline Protection Project, Phase 4</t>
  </si>
  <si>
    <t>North Topsail Beach Shoreline Protection Project, Phase 3</t>
  </si>
  <si>
    <t>North Topsail Beach Shoreline Protection Project, Phase 5</t>
  </si>
  <si>
    <t>North Topsail Beach, Surf City</t>
  </si>
  <si>
    <t>Surf City and North Topsail Beach CSDR Project</t>
  </si>
  <si>
    <t>Topsail Beach</t>
  </si>
  <si>
    <t>Topsail Beach Interim Beach Nourishment Project</t>
  </si>
  <si>
    <t>West Onslow Beach and New River Inlet (Topsail Beach) CSDR Project</t>
  </si>
  <si>
    <t>New Hanover</t>
  </si>
  <si>
    <t>Figure 8 Island</t>
  </si>
  <si>
    <t>Figure 8 Island Shoreline Management Project</t>
  </si>
  <si>
    <t>Mason Inlet Relocation Project (north)</t>
  </si>
  <si>
    <t>Wrightsville Beach</t>
  </si>
  <si>
    <t>Wrightsville Beach Coastal Storm Damage Reduction (CSDR) Project</t>
  </si>
  <si>
    <t>Carolina Beach</t>
  </si>
  <si>
    <t>Carolina Beach CSDR Project</t>
  </si>
  <si>
    <t>Kure Beach, Carolina Beach</t>
  </si>
  <si>
    <t>Kure Beach CSDR Project</t>
  </si>
  <si>
    <t>Brunswick</t>
  </si>
  <si>
    <t>Bald Head Island</t>
  </si>
  <si>
    <t>Bald Head Island Shoreline Protection Project</t>
  </si>
  <si>
    <t>Caswell Beach, Oak Island, Holden Beach, Ocean Isle Beach</t>
  </si>
  <si>
    <t>Brunswick County Beaches CSDR Project</t>
  </si>
  <si>
    <t>up to 158,400</t>
  </si>
  <si>
    <t>Oak Island</t>
  </si>
  <si>
    <t>Lockwoods Folly River Habitat Restoration Project, Phase 1 - Eastern Channel</t>
  </si>
  <si>
    <t>Holden Beach</t>
  </si>
  <si>
    <t>Holden Beach East End Shore Protection Project</t>
  </si>
  <si>
    <t>Holden Beach Central Reach Project</t>
  </si>
  <si>
    <t>Ocean Isle Beach</t>
  </si>
  <si>
    <t>Ocean Isle Beach Shoreline Protection Project</t>
  </si>
  <si>
    <t>Ocean Isle Beach Storm Damage Reduction Project</t>
  </si>
  <si>
    <t>TOTALS</t>
  </si>
  <si>
    <t>Town of Duck et al. (2016)</t>
  </si>
  <si>
    <t>Dare County is scheduled to construct 3 local sediment placement projects concurrently on behalf of the Towns of Duck, Kitty Hawk and Kill Devil Hills in 2017.</t>
  </si>
  <si>
    <t>Town of Kitty Hawk et al. (2016)</t>
  </si>
  <si>
    <t>Dare County is scheduled to construct 3 local sediment placement projects concurrently on behalf of the Towns of Duck, Kitty Hawk and Kill Devil Hills in 2017.  The Town of Kitty Hawk placed sediment along an unknown length of beach in 2004.</t>
  </si>
  <si>
    <t>Town of Kill Devil Hills et al. (2016)</t>
  </si>
  <si>
    <t>Dare County is scheduled to construct 3 local sediment placement projects concurrently on behalf of the Towns of Duck, Kitty Hawk and Kill Devil Hills in 2017.  The Town of Kill Devil Hills placed sediment along an unknown length of beach in 2004.</t>
  </si>
  <si>
    <t>USACE (2000)</t>
  </si>
  <si>
    <t>USACE (2013x)</t>
  </si>
  <si>
    <t>USACE (2014s)</t>
  </si>
  <si>
    <t>The USACE has proposed potential placement of sediment along erosional "hot spots" on Hatteras and/or Ocracoke Island, potentially modifying up to 10 miles of beach.  No specific sediment placement project(s) have been formalized as of 2016.</t>
  </si>
  <si>
    <t>NPS (2016)</t>
  </si>
  <si>
    <t>USACE (2014s), PSDS (2016)</t>
  </si>
  <si>
    <t>The USACE periodically places sediment dredged from channels in and around Beaufort Inlet on Fort Macon SP beaches.  USACE (2014s) states that the regular dredged material placement area at Fort Macon extends along 7,750 ft of beach.</t>
  </si>
  <si>
    <t>The Town and/or County placed sediment along the beach in 2013 as repairs following Hurricane Irene (2011).</t>
  </si>
  <si>
    <t>The Town and/or County placed sediment along the beach in 2 sections in 2013 as repairs following Hurricane Irene (2011).</t>
  </si>
  <si>
    <t>Carteret County Shore Protection Office website</t>
  </si>
  <si>
    <t xml:space="preserve">In 2014 the Town of Emerald Isle arranged for sediment dredged from the AIWW crossing with the channel to Bogue Inlet and placed the sediment along the undeveloped spit adjacent to the inlet rather than the historical placement area along the oceanfront. The Town also arranged for this placement area to receive sediment placmenet in 2006 and 2010. The average volume of sediment placed on the beach has been ~45,000 cy. </t>
  </si>
  <si>
    <t>USFWS (2016e)</t>
  </si>
  <si>
    <t>USFWS (2015d)</t>
  </si>
  <si>
    <t>USACE (2014t), USFWS (2015d)</t>
  </si>
  <si>
    <t>Town of North Topsail Beach website</t>
  </si>
  <si>
    <t>Phases 2 and 4 of the Shoreline Protection Project would place sediment along the remaining sections of beach in North Topsail Beach, but are undergoing further project development due to environmental considerations for nearby hardbottoms; Phase 2 includes 10,120 ft of beach and Phase 4 includes 6,880 ft.</t>
  </si>
  <si>
    <t>USACE (2014t)</t>
  </si>
  <si>
    <t>Phase 3 of the Town's Beach Restoration Project would place 394,000 to 560,000 cy of sediment along 2.1 miles of beach dredged from either offshore or mined from New River Inlet.  The Phase 3 section of beach is immediately north of the Phase 5 section of beach.</t>
  </si>
  <si>
    <t>Town of North Topsail Beach (2015b), USFWS (2015d)</t>
  </si>
  <si>
    <t>In 2014-15, the Town of North Topsail Beach placed 1.25 mcy of sediment from offshore along 3.5 miles of beach, extending north from the Town's boundary with Surf City.</t>
  </si>
  <si>
    <t>USACE (2010, 2013aa)</t>
  </si>
  <si>
    <t>USACE (2013z), USFWS (2015d)</t>
  </si>
  <si>
    <t>In 2010-11 the Town placed ~1 mcy of sediment from federal navigation channels and two USACE dredge disposal areas along 24,700 ft of beach.  In 2012 ~147,500 cy of sediment dredged from nearby federal navigation channels was placed along ~7,200 ft of beach.  In 2014-15, the Town placed sediment dredged/mined from New Topsail Inlet and associated channels along 24,700 ft of beach; the anticipated volume of sediment to be placed was 891,000 cy.</t>
  </si>
  <si>
    <t>The Shallow-Draft Inlets (SDI)-5 Projects proposed to allow 4 towns and 1 county to conduct maintenance dredging of nearby federal navigation channels, including inlets and the AIWW.  Sediment would be placed along adjacent beaches.  The authorized sediment placement area would be 23,900 ft but the typical sediment placement area would be 2,500 ft.</t>
  </si>
  <si>
    <t>USACE (2009, 2013aa)</t>
  </si>
  <si>
    <t>The USACE has proposed to construct a CSDR project in Topsail Beach that would extend along the entire developed beachfront of the community and transition into the south end of Surf City.  Sediment would be from offshore sources and placed every 4 years for 50 years.</t>
  </si>
  <si>
    <t>USACE (2015s, 2016k)</t>
  </si>
  <si>
    <t>PSDS (2016), USACE (2016k), USFWS (2015b, 2016c)</t>
  </si>
  <si>
    <t>Maintenance dredging and mining of Mason Inlet in its relocated position periodically provides sediment for placement along the south end of Figure 8 Island and/or the north end of Wrightsville Beach (10,000 ft each).</t>
  </si>
  <si>
    <t>USFWS (2015b)</t>
  </si>
  <si>
    <t>The authorized sediment placement area for the Mason Inlet Relocation Project on Wrightsville Beach is 10,000 ft south of the inlet.  Two portions of the authorized sediment placement area have received sediment - the north end when the inlet was relocated in 2002 (~2,800 ft) and the south end that overlaps the federal Wrightsville Beach CSDR Project area (~2,890 ft).  The remaining 4,310 ft remains authorized for sediment placement but not modified as of 2016.</t>
  </si>
  <si>
    <t>USFWS (2015b, 2016c)</t>
  </si>
  <si>
    <t>The USACE has periodically placed sediment on Wrightsville Beach since 1939.  The current CSDR Project was initiated in 1965 and re-authorized through 2036.  Sediment is mined from Masonboro Inlet approx. every 3-4 years for placement along 16,200 ft of beach.</t>
  </si>
  <si>
    <t>The Shallow-Draft Inlets (SDI)-5 Projects proposed to allow 4 towns and 1 county to conduct maintenance dredging of nearby federal navigation channels, including inlets and the AIWW.  Sediment would be placed along adjacent beaches.  The authorized sediment placement area would be 4,900 ft but the typical sediment placement area would be 2,600 ft.</t>
  </si>
  <si>
    <t>PSDS (2016), USFWS (2016b)</t>
  </si>
  <si>
    <t>The USACE has periodically placed sediment on Carolina Beach since 1955.  The current CSDR Project was initiated in 1962 and is pending re-authorization of federal participation beyond Dec. 2017.  Sediment is mined from Carolina Beach Inlet approx. every 3 years for placement along 12,750 ft of beach.  990,000 cy of sediment was placed in 2016.</t>
  </si>
  <si>
    <t>The USACE has periodically placed sediment on Kure Beach since 1997.  The current CSDR Project was initiated in 1962 and re-authorized through 2047.  Sediment is mined from offshore and/or Carolina Beach Inlet approx. every 3 years for placement along 18,000 ft of beach.  558,000 cy was placed in 2016.  Project area extends ~4,700 ft into Carolina Beach.</t>
  </si>
  <si>
    <t>USACE (2014q), USFWS (2014c), PSDS (2016), Village of Bald Head Island (2016)</t>
  </si>
  <si>
    <t>USACE (2014q), USFWS (2014c)</t>
  </si>
  <si>
    <t>Sediment was placed along 2,500 ft of beach as part of the project to construct a terminal groin on Bald Head Island in late 2015 and early 2016.</t>
  </si>
  <si>
    <t>USFWS (2015a)</t>
  </si>
  <si>
    <t>USACE (2015u), USFWS (2016a)</t>
  </si>
  <si>
    <t>Town of Holden Beach (2017), Walsh (2016)</t>
  </si>
  <si>
    <t>Town of Ocean Isle Beach (2015), USACE (2015q, 2016l), USFWS (2015c)</t>
  </si>
  <si>
    <t>Town of Ocean Isle Beach (2015)</t>
  </si>
  <si>
    <t>The USACE initially constructed a federal storm damage reduction project on Ocean Isle in 2001, placing 1,866,000 cy of sediment along 17,100 ft (3.25 miles) of beach. Portions of the federal project area received additional sediment placement in December 2006 (449,400 cy), April-May 2010 (509,200 cy), and April 2014 (~800,000 cy). The sediment is mined from Shallotte Inlet at the east end of the island.</t>
  </si>
  <si>
    <t>The 2015 Beach Management Plan for the Town of Ocean Isle Beach proposed to place sediment along ~7,000 ft of beach at the western end of the island, directly adjacent to the western terminus of the federal beach fill project that has periodically placed sediment on the island's beaches since 2001. </t>
  </si>
  <si>
    <t>PROPOSED FOR 2017</t>
  </si>
  <si>
    <t>Southern Shores</t>
  </si>
  <si>
    <t>Extension of Kitty Hawk Shore Protection Project</t>
  </si>
  <si>
    <t>The Town of Southern Shores proposed in early 2017 to extend the Town of Kitty Hawk Shore Protection Project an additional 1,500 ft north into Southern Shores.</t>
  </si>
  <si>
    <t>Kathy Matthews, USFWS, pers. communication, 1/27/2017</t>
  </si>
  <si>
    <t>Nags Head</t>
  </si>
  <si>
    <t>Nags Head Beach Nourishment Project</t>
  </si>
  <si>
    <t>The Town of Nags Head constructed an emergency berm with 353,000 cy of sediment after Hurricane Isabel in 2003-06.  In 2010-11, the Town placed 4.6 mcy of sediment along 10 miles of beach from Bonnett Street to the boundary with Cape Hatteras NS.</t>
  </si>
  <si>
    <t>2010-11</t>
  </si>
  <si>
    <t>2003-06</t>
  </si>
  <si>
    <t>Town of Nags Head website</t>
  </si>
  <si>
    <t>Pea Island NWR (Rodanthe)</t>
  </si>
  <si>
    <t>Oregon Inlet Dredged Material Placement</t>
  </si>
  <si>
    <t>1990 or before</t>
  </si>
  <si>
    <t>USFWS (2006), USACE (2014s), PSDS (2016)</t>
  </si>
  <si>
    <t>The USACE periodically has placed sediment dredged from Oregon Inlet on the beach at Pea Island NWR.  Between 1990 and 2002, the volumes of sediment placed ranged from 250,000 to 1,078,000 cy.  The USACE authorized placement area is 15,840 ft (3 miles) but actual placement area(s) are 7,920 ft (1.5 miles).  USACE anticipated annual dredging volumes to be placed on the beach or nearshore of Pea Island NWR are 300,000 cy, but USFWS (2006b) notes that actual annual dredging volumes range from 0.6 to 1.2 mcy.  The overall portion of the authorized sediment placement area that has been modified by placement of dredged material is unknown.</t>
  </si>
  <si>
    <t>Rodanthe Harbor Dredged Material Placement</t>
  </si>
  <si>
    <t>Avon</t>
  </si>
  <si>
    <t>Avon Harbor Dredged Material Placement</t>
  </si>
  <si>
    <t>Buxton Inlet Artificial Closure</t>
  </si>
  <si>
    <t>The USACE occasionally dredges a navigation channel to Rodanthe Harbor and places up to 100,000 cy of sedimnet along 2,000 ft of beach.  The authorized project placement area is 4,800 ft.  Dredging is anticipated to occur every 6 years.  The overall portion of the authorized sediment placement area that has been modified by placement of dredged material is unknown.</t>
  </si>
  <si>
    <t>The USACE occasionally dredges a navigation channel to Avon Harbor and places up to 50,000 cy of sedimnet along 2,000 ft of beach.  The authorized project placement area is 16,368 ft.  Dredging is anticipated to occur every 6 years.  The overall portion of the authorized sediment placement area that has been modified by placement of dredged material is unknown.</t>
  </si>
  <si>
    <t>Mallinson et al. (2008)</t>
  </si>
  <si>
    <t>The Ash Wednesday Storm of 1962 opened a new inlet in Buxton.  The inlet was artificially closed in 1963 with sediment dredged from a shallow area on the bayside.  Length of beach modified by sediment placement to close the inlet is approximated based upon historical imagery included in Mallinson et al. (2008).</t>
  </si>
  <si>
    <t>Cape Hatteras Lighthouse Beach Nourishment</t>
  </si>
  <si>
    <t>Hatteras</t>
  </si>
  <si>
    <t>Isabel Inlet Closure</t>
  </si>
  <si>
    <t>Hatteras Inlet (Rollinson Channel) Dredged Material Placement</t>
  </si>
  <si>
    <t>Hyde</t>
  </si>
  <si>
    <t>Ocracoke</t>
  </si>
  <si>
    <t>Hatteras Inlet Dredged Material Placement</t>
  </si>
  <si>
    <t>Silver Lake / Teaches Hole / Ocracoke Dredged Material Placement</t>
  </si>
  <si>
    <t>1972, 1973</t>
  </si>
  <si>
    <t>Federal beach fill projects placed placed sediment on the beach to protect the Cape Hatteras Lighthouse in 1966 (312,000 cy), 1972 (200,000 cy), and 1973 (1,300,000 cy).</t>
  </si>
  <si>
    <t>Mallinson et al. (2008), Morgan (2009), NC DENR (2011)</t>
  </si>
  <si>
    <t>Hurricane Isabel opened a new inlet on Hatteras Island between Frisco and Hatteras and severed NC 12.  The inlet was artificially closed with sediment dredged from the nearby Hatteras/Rollinson channels within 40 days.  Length of beach modified by sediment placement to close the inlet is approximated based upon aerial imagery taken after the storm.</t>
  </si>
  <si>
    <t>NC DENR (2011), USACE (2014s), PSDS (2016)</t>
  </si>
  <si>
    <t>The USACE and/or NC DOT periodically places sediment dredged from channels in and around Hatteras Harbor and Inlet on the beach in Hatteras and/or Frisco.  The authorized project sediment placement area is 5.85 miles (30,888 ft), but actual placement limits are typically 0.4 miles (2,000 ft) or less.  The overall portion of the authorized sediment placement area that has been modified by placement of dredged material is unknown.</t>
  </si>
  <si>
    <t>The USACE occasionally dredges Hatteras Inlet and its associated channels and places dredged material along 2,000 ft of beach on Ocracoke Island, starting at a point 5,000 ft from the inlet.  The authorized sediment placement area extends for 3,000 ft but the actual placement area is typically 2,000 ft.  NC DOT may also conduct dredging in this area.  Dredging may also occur by sidecast dredging with no sediment placement on the beach.</t>
  </si>
  <si>
    <t>The USACE occasionally dredges navigation channels to Silver Lake / Teaches Hole on Ocracoke and/or Ocracoke Inlet and places dredged material along 2,000 ft of beach on Ocracoke Island, starting at a point 2,000 ft from Ocracoke inlet.  Dredging of the may also occur by sidecast dredging with no sediment placement on the beach.</t>
  </si>
  <si>
    <t>Coburn et al. (2010)</t>
  </si>
  <si>
    <t>Congress authorized the USACE to periodically dredge Drum Inlet in 1938.  The USACE dredged Drum Inlet and placed dredged material along adjacent beaches at least 4 times from 1939 to 1952.  The inlet closed naturally in 1971 and the USACE artificially opened New Drum Inlet ~2.5 miles to the southwest.</t>
  </si>
  <si>
    <t>The USACE artificially created New Drum Inlet in 1971.  The USACE dredged New Drum Inlet and placed dredged material along adjacent beaches at least 10 times from 1971 to 1998.  No dredging has occurred since 1998.  The authorized sediment placement areas are located 2,000 ft on either side of the inlet and extend for 5,280 ft (1 mile) in either direction.  Note that Ophelia Inlet is now located within the southern disposal area, reducing the length of beach present in 2015 previously modified by sediment placement.</t>
  </si>
  <si>
    <t>9 additional episodes through 1998</t>
  </si>
  <si>
    <t>Cape Lookout NS</t>
  </si>
  <si>
    <t>New Drum Inlet Dredged Material Placement</t>
  </si>
  <si>
    <t>Drum Inlet Dredged Material Placement</t>
  </si>
  <si>
    <t>Atlantic Beach</t>
  </si>
  <si>
    <t>Beaufort Inlet Dredged Material Placement / Brandt Island Pumpouts</t>
  </si>
  <si>
    <t>1995, 2005</t>
  </si>
  <si>
    <t>Pine Knoll Shores, Indian Beach, Salter Path</t>
  </si>
  <si>
    <t>Morehead City Section 933 Project</t>
  </si>
  <si>
    <t>(overlaps other project areas)</t>
  </si>
  <si>
    <t>The Morehead City Section 933 project placed ~1.2 mcy of sediment along various locations on Bogue Banks in 2004 (Phase 1 in Indian Beach) and 2007 (Phase 2 in Pine Knoll Shores).</t>
  </si>
  <si>
    <t>Bogue Banks Beach Restoration Project, Phase I</t>
  </si>
  <si>
    <t>Emerald Isle (central &amp; east)</t>
  </si>
  <si>
    <t>Bogue Banks Beach Restoration Project, Phase II</t>
  </si>
  <si>
    <t>The Town of Emerald Isle and Carteret County placed 1.81 mcy of sediment along 5.89 miles of beach in 2003 as Phase 2 of the Bogue Banks Beach Restoration Project in western Emerald Isle.  FEMA and the Town placed over 344,000 cy of sediment on the beach as an emergency project (post-Ophelia) in 2007 and another with over 451,000 cy in 2013 (post-Irene).</t>
  </si>
  <si>
    <t>2007, 2013</t>
  </si>
  <si>
    <t>2004, 2007, 2013</t>
  </si>
  <si>
    <t>The Towns of Pine Knoll Shores and Indian Beach and Carteret County placed 1.73 mcy of sediment along nearly 6.2 miles of beach in 2002 as Phase I of the Bogue Banks Beach Restoration Project in Pine Knoll Shores and Indian Beach.  FEMA and the Towns/County placed over 581,000 cy of sediment on the beach as an emergency project (post-Ophelia) in 2007 and another with over 315,000 cy in 2013 (post-Irene).</t>
  </si>
  <si>
    <t>Emerald Isle (west)</t>
  </si>
  <si>
    <t>Bogue Banks Beach Restoration Project, Phase III</t>
  </si>
  <si>
    <t>The Town of Emerald Isle and Carteret County placed over 690,000 cy of sediment along 4.50 miles of beach in 2005 as Phase 3 of the Bogue Banks Beach Restoration Project in central and eastern Emerald Isle.  FEMA and the Town placed nearly 160,000 cy of sediment on the beach as an emergency project (post-Isabel) along 2.37 miles of the same beach in 2004.  FEMA and the Town placed over 304,000 cy of sediment on the beach as an emergency project (post-Ophelia) in 2007 and over 198,000 cy as an emergency project (post-Irene) in 2013.</t>
  </si>
  <si>
    <t>2005, 2007, 2013</t>
  </si>
  <si>
    <t>2010, 2014</t>
  </si>
  <si>
    <t>Bogue Inlet / AIWW Dredged Material Placement</t>
  </si>
  <si>
    <t>The USACE periodically placed sediment dredged from channels in and around Bogue Inlet and the AIWW on Emerald Isle, with volumes ranging from 15,000 to 77,000 cy.  No dredged material was placed on this section of beach between 2009 and 2015.</t>
  </si>
  <si>
    <t>periodic to 2009</t>
  </si>
  <si>
    <t>The USACE has proposed to construct a CSDR project along 23 miles of Bogue Banks beaches.  An anticipated 2.45 mcy of sediment from offshore initially would be placed on the beach.  Sediment would also be placed along 5.9 miles of dunes to expand the dunes within the project area.  Renourishment would occur every 3 years.  Only 1.26 miles of the proposed project area does not overlap other project areas.</t>
  </si>
  <si>
    <t>Dare County has proposed a beach fill project along 15,500 ft of beach, including lands within Cape Hatteras NS. Up to 2.6 mcy of sediment is proposed to be dredged from offshore and placed on the beach. Construction of the project is scheduled for 2017.   Only 1.13 miles of the proposed project area does not overlap other project areas.</t>
  </si>
  <si>
    <t>The USACE has proposed a federal beach and dune fill project along 14.2 miles of beach in two segments:  4.1 miles in Kitty Hawk and Kill Devil Hills, and 10.1 miles in Nags Head.  Initial placement would include 12.34 mcy of sediment from an offshore source.  Only 0.25 miles of the proposed project area does not overlap other project areas.</t>
  </si>
  <si>
    <t>The Shallow-Draft Inlets (SDI)-5 Projects proposed to allow 4 towns and 1 county to conduct maintenance dredging of nearby federal navigation channels, including inlets and the AIWW.  Sediment would be placed along adjacent beaches.  The authorized sediment placement area would be 32,700 ft but the typical sediment placement area would be 2,700 ft.  NOTE that the authorized sediment placement area includes ~1,900 ft of INLET shoreline, reducing the oceanfront project length to 30,800 ft.  Only 0.70 miles of the proposed project area does not overlap other project areas.</t>
  </si>
  <si>
    <t>Onslow County received authority to dredged federal channels in and around New River Inlet and the AIWW, with an expansion of the federal sediment placement area to include 2.5 miles of beach on North Topsail Beach.  Dredging was conducted in 2016 with 120,000 cy of material placed on an unknown portion of the authorized project area.  Only 1.04 miles of the project area does not overlap other project areas.</t>
  </si>
  <si>
    <t>Nov 2012 - Jan 2013</t>
  </si>
  <si>
    <t>In 2012-13, the Town of North Topsail Beach relocated the ebb tide channel within New River Inlet to mine sediment for Phase 1 of a Beach Restoration Project, placing over 566,000 cy of sediment along 7,735 ft of beach.  Note that the authorized sediment placement area is ~9,715 ft.  Only 0.72 miles of the project area do not overlap other project areas.</t>
  </si>
  <si>
    <t>Phases 2 and 4 of the Shoreline Protection Project would place sediment along the remaining sections of beach in North Topsail Beach, but are undergoing further project development due to environmental considerations for nearby hardbottoms; Phase 2 includes 10,120 ft of beach and Phase 4 includes 6,880 ft.  Only 1.26 miles of the Phase 2 project area does not overlap other project areas.</t>
  </si>
  <si>
    <t>2014-15</t>
  </si>
  <si>
    <t>The USACE has proposed to construct a CSDR project in Surf City and North Topsail Beach that would extend along the North Topsail Beach shoreline outside of the CBRA Zone L06 plus the entire length of Surf City, then transition into the north end of Topsail Beach; the total proposed project area is 9.88 miles.  Sediment would be from offshore sources and placed every 4 years for 50 years.  Only 6.22 miles of the proposed project area do not overlap other project areas.</t>
  </si>
  <si>
    <t>New River Inlet / AIWW Dredged Material Placement</t>
  </si>
  <si>
    <t>USACE (2014s), USFWS (2015d), PSDS (2016)</t>
  </si>
  <si>
    <t>The USACE periodically places sediment dredged from New River Inlet and the AIWW on the beach in North Topsail Beach, placing up to 200,000 cy along up to 4,000 ft of beach annually.  The authorized project placement limits are 8,000 ft of beach.  Onslow County recently received authorization to perform the dredging and place dredged material along 2 miles of North Topsail Beach, with the first County-sponsored episode in 2016.</t>
  </si>
  <si>
    <t>Pender</t>
  </si>
  <si>
    <t>Topsail Inlet / AIWW Dredged Material Placement</t>
  </si>
  <si>
    <t>Camp Lejeune</t>
  </si>
  <si>
    <t>Browns Inlet / AIWW Dredged Material Placement</t>
  </si>
  <si>
    <t>The USACE periodically places sediment dredged from the AIWW at Browns Inlet along 1 mile of beach at Camp Lejeune. Less than 200,000 cy are placed on average every 2 years.</t>
  </si>
  <si>
    <t>The USACE periodically places sediment dredged from Topsail Inlet and the AIWW and associated channels along 2,000 ft of Topsail Beach, extending northeast from a point 2,000 ft northeast of the inlet.  Up to 75,000 cy may be placed annually.  Only 0.19 miles of the project area does not overlap other project areas.</t>
  </si>
  <si>
    <t>Figure 8 HOA has proposed to construct a terminal groin at the north end of the island near Rich Inlet and place sediment along 4,500 ft of oceanfront beach and 1,400 ft of shoreline along Nixon Channel.  The terminal groin sand fillet would receive new sediment every 5 years.  Only 0.15miles of the proposed project area do not overlap other project areas.</t>
  </si>
  <si>
    <t>2005, 2009, 2011, 2013, 2016</t>
  </si>
  <si>
    <t>Figure 8 Island North End Sediment Placement Project(s)</t>
  </si>
  <si>
    <t>1993, 1997, 2001, 2005, 2009</t>
  </si>
  <si>
    <t>USACE (2016k)</t>
  </si>
  <si>
    <t>Approximately 1.8 mcy of sediment was placed in 6 sediment placement projects along the North End of Figure 8 Island, from Bridge Road north to Rich Inlet, between 1993 and 2011.  The 6 projects altogether extended from stations 0+00 to 95+00, or along 9.500 ft of beach.</t>
  </si>
  <si>
    <t>The Figure 8 Island HOA periodically dredges Banks Channel and/or the AIWW for use as sediment placement on the South End of the island, from Bridge Road south.  Sediment also is periodically mined from Mason Inlet to maintain the inlet in its relocated position and placed on the same area of beach as part of the Mason Inlet Relocation Project (MIRP).</t>
  </si>
  <si>
    <t>1986, 1992, 1999-2000, 2003, 2006</t>
  </si>
  <si>
    <t>Figure 8 Island South End Sediment Placement Project(s)</t>
  </si>
  <si>
    <t>Masonboro Island</t>
  </si>
  <si>
    <t>Masonboro Inlet Artificial Closure</t>
  </si>
  <si>
    <t>Masonboro Inlet Sand Bypassing</t>
  </si>
  <si>
    <t>Masonboro Inlet Dredged Material Placement (south)</t>
  </si>
  <si>
    <t>Cleary and Marden (1999), Rice (2016)</t>
  </si>
  <si>
    <t>Masonboro Inlet was relocated north in 1959, and the old inlet site was closed with fill material.   The length of beach modified by the fill is approximated based on historical imagery.</t>
  </si>
  <si>
    <t>The USACE periodically bypasses sediment to the center of Masonboro Island, including in 1986 and 1994.  Nearly 2 mcy was placed along 5,000 ft in 1994 and 362,000 cy along 2,400 ft in 1986.  Sediment bypassing is anticipated for every 4 years with up to 500,000 cy.  The authorized sediment placement area is along 6,000 ft of beach.</t>
  </si>
  <si>
    <t>The USACE has periodically placed sediment from maintenance dredging of the nearby AIWW along up to 7,000 ft of beach on the south end of Masonboro Island, extending north from a point 2,000 ft north of Carolina Beach Inlet. Typical sediment placement occurs along 2,000 ft of beach within the 7,000 ft authorized sediment placement area.</t>
  </si>
  <si>
    <t>Freeman Park Dredged Material Placement</t>
  </si>
  <si>
    <t>The USACE has placed sediment dredged from the nearby AIWW / Carolina Beach Inlet crossing along the beach at Freeman Park north of Carolina Beach.  Sediment placement dates, volumes and locations were not available.</t>
  </si>
  <si>
    <t>2015-16</t>
  </si>
  <si>
    <t>up to 8.75</t>
  </si>
  <si>
    <t>The USACE is evaluating up to 30 miles of Brunswick County beaches for sediment placement, with up to 8.75 miles of potential project area that do not overlap other project areas.</t>
  </si>
  <si>
    <t>The Town of Oak Island placed 226,575 cy of material dredged from Eastern Channel and its shoals at Lockwoods Folly Inlet along 0.60 miles of beach in 2015; only 0.12 miles of the project area did not overlap other project areas.</t>
  </si>
  <si>
    <t>2004, 2006, 2008-09, 2010, 2011, 2012, 2014</t>
  </si>
  <si>
    <t>Caswell Beach, Oak Island</t>
  </si>
  <si>
    <t>Oak Island Section 1135 Sea Turtle Restoration Project</t>
  </si>
  <si>
    <t>USFWS (2015a), PSDS (2016)</t>
  </si>
  <si>
    <t>1996, 1997, 2001, 2005, 2006, 2007, 2009-10, 2012, 2013, 2015</t>
  </si>
  <si>
    <t>Bald Head Island Sediment Placement Areas</t>
  </si>
  <si>
    <t>Bald Head Island periodically receives sediment placement of dredged material from the Cape Fear River, placed by the USACE as part of the Wilmington Harbor Sand Management Plan in 2001, 2005, and 2007.  The Village of Bald Head Island placed sediment along the beach in 1991, 1996, 1997, 2006, 2009-10, and 2012.  The USACE placed 1.525 mcy of dredged material along 12,500 ft of beach in 2013 and 11,250 ft in 2015.  The total length of beach that has received sediment placement through all projects is 19,750 ft.</t>
  </si>
  <si>
    <t>In 2001 the USACE placed 1.34 mcy of sediment along 12,100 ft of beach in Oak Island as part of a sea turtle habitat restoration project. The main project area extended from East 26th to East 58th Streets, plus 1,600 ft tapers at both ends.</t>
  </si>
  <si>
    <t>In 2001-02 the USACE placed ~1.55 mcy of sediment dredged as part of the Wilmington Harbor Deepening Project along 25,000 ft of beach in Caswell Beach and eastern Oak Island. Sediment was also placed along a portion of the project area in 2009.  Only 4.40 miles of the project area do not overlap other project areas.</t>
  </si>
  <si>
    <t>The USACE periodically has placed up to 140,000 cy of sediment dredged from Lockwoods Folly Inlet and its associated navigation channels on eastern Holden Beach.  In 2001-02 the USACE placed 525,000 cy of sediment on Holden Beach as part of the Wilmington Harbor Deepening Project.  The Town of Holden Beach concurrently placed 141,700 cy of sediment in approximately the same area.  Since then, sediment has periodically been placed by both the USACE and the Town of Holden Beach on varying locations of the beach.  The total area modifed by sediment placement between 2001 and 2015 extends 25,500 ft from 825 Ocean Blvd. West (Station 270+00) to 336 Serenity Lane (Station 15+00).  Since 2010 the sediment has been mined from the Lockwoods Folly Inlet crossing with the AIWW.  After Hurricane Sandy, the USACE and Town placed sediment along 5,500 ft of beach between Stations 18+00 and 73+00.</t>
  </si>
  <si>
    <t>Holden Beach Sediment Placement Areas</t>
  </si>
  <si>
    <t>ATM (2015), PSDS (2016), USFWS (2016a)</t>
  </si>
  <si>
    <t>The Town of Holden Beach has proposed to construct a terminal groin at the east end of the island.  Between 100,000 and 150,000 cy of sediment would be placed along 4,000 ft of beach as part of the groin project.  The sand fillet would be renourished every 4 years with sediment mined from the Lockwoods Folly Inlet complex.  Only 0.13 miles of the proposed project area do not overlap other project areas.</t>
  </si>
  <si>
    <t>The Town of Holden Beach proposed to construct a sediment placement project along 4.1 miles of beach, placing 1.3 mcy of sediment dredged from offshore from 240 Ocean Blvd. East to 781 Ocean Blvd. West.  Construction of the project began in January 2017.  The entire project area overlaps other project areas.</t>
  </si>
  <si>
    <t>The Town of Ocean Isle Beach has proposed to construct a 1,050 ft terminal groin at the east end of the island near Shallotte Inlet. Beach fill (264,000 cy) would be placed periodically to the west of the groin, with an estimated sediment renourishment interval of 5 years. Sediment would be mined from Shallotte Inlet.  The entire proposed project area overlaps other project areas.</t>
  </si>
  <si>
    <t>The Shallow-Draft Inlets (SDI)-5 Projects proposed to allow 4 towns and 1 county to conduct maintenance dredging of nearby federal navigation channels, including inlets and the AIWW.  Sediment would be placed along adjacent beaches.  The authorized sediment placement area would be 19,900 ft but the typical sediment placement area would be 2,800 ft.  Only 0.30 miles of the authorized placement area does not overlap other project areas.</t>
  </si>
  <si>
    <t>The Shallow-Draft Inlets (SDI)-5 Projects proposed to allow 4 towns and 1 county to conduct maintenance dredging of nearby federal navigation channels, including inlets and the AIWW.  Sediment would be placed along adjacent beaches.  The authorized sediment placement area would be 23,700 ft but the typical sediment placement area would be 2,800 ft.  All of the authorized placement area overlaps other project areas.</t>
  </si>
  <si>
    <t>NC DOT placed 1.6 mcy of sediment dredged from offshore along an erosional hot spot known as the S-Curves at the south end of Pea Island NWR and Mirlo Beach area of Rodanthe to protect NC 12, which had breached during Hurricanes Irene (2011) and Sandy (2012).  Only 1.56 miles of the project area do not overlap other project areas.</t>
  </si>
  <si>
    <t>every 3 to 4 years since 1955</t>
  </si>
  <si>
    <t>2001, 2004, 2007, 2010, 2013</t>
  </si>
  <si>
    <t>1990?</t>
  </si>
  <si>
    <t>1988, 1989, 1992, 1995</t>
  </si>
  <si>
    <t>Sussex</t>
  </si>
  <si>
    <t>Rehoboth Beach &amp; Dewey Beach</t>
  </si>
  <si>
    <t>Delaware Seashore SP</t>
  </si>
  <si>
    <t>Rehoboth Beach</t>
  </si>
  <si>
    <t>Rehobeth Beach and Dewey Beach Coastal Storm Damage Reduction Project</t>
  </si>
  <si>
    <t>Bethany Beach &amp; South Bethany Coastal Storm Damage Reduction Project</t>
  </si>
  <si>
    <t>Fenwick Island Coastal Storm Damage Reduction Project</t>
  </si>
  <si>
    <t>Indian River Inlet North Shore</t>
  </si>
  <si>
    <t>Daniel (2001), Greene (2002), PSDS (2016)</t>
  </si>
  <si>
    <t>Indian River Inlet Sand Bypassing</t>
  </si>
  <si>
    <t>9 episodes prior to bypassing plant, 1990, 1992, 2013</t>
  </si>
  <si>
    <t>Annual sand bypassing plant initially constructed 1990, operates annually to place ~100,000 cy of sand along 3,500 ft of beach north of the inlet; state partner operates the plant with federal cost-share</t>
  </si>
  <si>
    <t>Numerous episodes of primarily federal but sometimes state navigation disposal, emergency fill, or storm and erosion control fill along 5,000 to 8,400 ft of beach; 1990, 1992 and 2013 episodes were supplemental nourishment (to sand bypassing) and/or storm repair with material mined from flood shoal and placed along 5,500 ft of beach north of inlet; only 0.93 miles of historical placement area does not overlap other project areas</t>
  </si>
  <si>
    <t>2008-09, 2011-12, 2013</t>
  </si>
  <si>
    <t>NMFS (2014), USACE Philadelphia District website</t>
  </si>
  <si>
    <t>Federal coastal storm damage reduction project initially constructed 2005; 2013 episode FCCE repair project for Hurricane Sandy</t>
  </si>
  <si>
    <t>2005-06</t>
  </si>
  <si>
    <t>2009, 2011, 2013</t>
  </si>
  <si>
    <t>Federal storm damage reduction project initially constructed 2008; project is split into two segments that are not connected; 2011 and 2013 episodes FCCE repair projects</t>
  </si>
  <si>
    <t>South Bethany Sediment Placement</t>
  </si>
  <si>
    <t>Bethany Beach Sediment Placement</t>
  </si>
  <si>
    <t>Dewey Beach Sediment Placement</t>
  </si>
  <si>
    <t>Rehobeth Beach Sediment Placement</t>
  </si>
  <si>
    <t>Fenwick Island Sediment Placement</t>
  </si>
  <si>
    <t>up to 1.65</t>
  </si>
  <si>
    <t>2011, 2013</t>
  </si>
  <si>
    <t>Federal coastal storm damage reduction project initially constructed 2005 along entire length of town plus 500 ft taper into Fenwick Island State Park; 2013 episode FCCE repair project after Hurricane Sandy</t>
  </si>
  <si>
    <t>1962 federal emergency beach fill extended 15,200 ft to York beaches; episodes of 1991, 1992 and 1994 were federal, others state; beach fill lengths range from 1,600 to 6,000 ft; 1998 episode was 56,100 cy state / FEMA project.  Precise project location for 1962 was not available but assuming it overlapped the 6,500 ft federal CSDR Project area, up to 1.65 miles of additional beach received sediment placement in 1962.</t>
  </si>
  <si>
    <t>1962 federal emerency project extended 24,816 ft to York beaches; 1998 episode was 168,900 cy state / FEMA / local project.   Precise project location for 1962 was not available but assuming it overlapped the Bethany Beach and South Bethany federal CSDR Project areas (14,950 ft) and the Sea Colony private fill area (2,380 ft), up to 1.42 miles of additional beach received sediment placement in 1962.</t>
  </si>
  <si>
    <t>up to 1.42</t>
  </si>
  <si>
    <t>1961 and 1962 episodes were federal and 1962 fill extended 9,504 ft to Beach Cove; others were all state projects with 2,200 to 5,138 ft of length; 1998 episode was 321,700 cy state project.  Only 0.34 miles of the longest project area do not overlap with the federal CSDR project area.</t>
  </si>
  <si>
    <t>Worcester</t>
  </si>
  <si>
    <t>Ocean City Hurricane Protection Project</t>
  </si>
  <si>
    <t>The federal Ocean City Hurricane Protection Project was initially constructed in two Phases, Phase 1 in 1988 and Phase 2 from 1990-94 along the entire 9 mile length of Ocean City from Ocean City Inlet to the MD-DE boundary. Additional beach fills were cosntructed in 1998, 2002 and 2006. After Hurricane Sandy, most of the 8.3 mile long project area north of 3rd St. to the Delaware line (plus 0.3 miles into Delaware) received sediment placement and dune reconstruction from July 2013 to May 2014. The Town of Ocean City and state of Maryland also place ~200,000 cy of beach fill along the entire 9 mile long Ocean City beachfront, annually as needed.</t>
  </si>
  <si>
    <t>Greene (2002), Krantz et al. (2009), USACE (2015j, 2016d), PSDS (2016)</t>
  </si>
  <si>
    <t>1998, 2002, 2006, 2013-14, some areas annually</t>
  </si>
  <si>
    <t>Ackerman / Ocean Beach Club Artificial Foredune</t>
  </si>
  <si>
    <t>Krantz et al. (2009), Schupp and Coburn (2015)</t>
  </si>
  <si>
    <t>Schupp and Coburn (2015)</t>
  </si>
  <si>
    <t>Greene (2002), Krantz et al. (2009), Schupp and Coburn (2015)</t>
  </si>
  <si>
    <t>Assateague Island USACE Dune Construction</t>
  </si>
  <si>
    <t>Assateague Island USFWS Dune Construction</t>
  </si>
  <si>
    <t xml:space="preserve">From 1971 to 1986 the USACE placed dredged material south of the jetty to construct dunes; a total of ~300,000 cy of fill were placed within ~0.55 miles of the south jetty from 1971 to 1986. </t>
  </si>
  <si>
    <t>North End Restoration Project (Assateague Island)</t>
  </si>
  <si>
    <t>Assateague Island Operation Five-High Sediment Placement</t>
  </si>
  <si>
    <t>USACE beach fill project following the Ash Wednesday Storm of 1962 using 1.02 mcy of material along 4.16 miles of beach; material used to close storm breaches and construct dunes.  Only 1.00 miles of project area does not overlap other project areas.</t>
  </si>
  <si>
    <t>ASIS Emergency Storm Berm Project</t>
  </si>
  <si>
    <t>One time dune construction of an emergency storm berm to prevent island breach from 3.1 to 4.7 miles (5 to 7.5 km) south of the inlet; maintained in 2002; sediment from an offshore source</t>
  </si>
  <si>
    <t>Assateague State Park Artificial Dune</t>
  </si>
  <si>
    <t>2001-02, 2012-15</t>
  </si>
  <si>
    <t>Greene (2002), Schupp et al. (2013), Schupp and Coburn (2015), Bill Hulslander, NPS, pers. communication 10/31/2016</t>
  </si>
  <si>
    <t>The Assateague State Park maintains an artificial dune with beach fill, beach scraping, sand fencing, vegetation plantings and other methods along 2 miles of beach. Most of the artificial dune received sediment placement from an upland source in the three years following Hurricane Sandy (2012-2015).  Unknown initial construction date; some areas may receive sediment placement annually.</t>
  </si>
  <si>
    <t>Chincoteague Dune Construction</t>
  </si>
  <si>
    <t>Artificial dune constructed for migratory waterfowl management by the USFWS initially built 1963 from Green Run (in MD) to the southern tip of Assateague Island for a total project length of 21.85 miles; 7.55 miles of the project were in MD and 14.30 in VA</t>
  </si>
  <si>
    <t>Chincoteague</t>
  </si>
  <si>
    <t>1962-63</t>
  </si>
  <si>
    <t>Accomack</t>
  </si>
  <si>
    <t>Wallops Island Post-Hurricane Sandy Repair Project</t>
  </si>
  <si>
    <t>NASA Wallops Flight Facility, contracting with the Norfolk District of the USACE, repaired the rock seawall on Wallops Island and placed ~800,000 cy of sediment mined from offshore along 2.1 miles of Wallops Island after Hurricane Sandy in 2013. The beach fill project was initially constructed in 2012 just prior to Hurricane Sandy; the post-Sandy project did not extend the full length of the initial project area.</t>
  </si>
  <si>
    <t>NASA (2013)</t>
  </si>
  <si>
    <t>Wallops Island Sediment Placement</t>
  </si>
  <si>
    <t>Wallops Island Breach Closure</t>
  </si>
  <si>
    <t>(see below)</t>
  </si>
  <si>
    <t>(see above)</t>
  </si>
  <si>
    <t>Rudee Inlet Dredged Material Placement</t>
  </si>
  <si>
    <t>JEB Fort Story Shoreline Restoration and Protection Project (Leyte Rd.)</t>
  </si>
  <si>
    <t xml:space="preserve">The US Navy has proposed a Shoreline Restoration and Protection Project that involved placing sediment at three locations at JEB Little Creek / Fort Story.  At the north end of Leyte Road, beach fill was proposed from the stone revetment around Building 734 to the first breakwater to the east.  Although the project was originally proposed prior to Hurricane Sandy, the project design was modified after Hurricane Sandy.  USACE and Virginia Marine Resources Commission regulatory permits were under review in 2014.  </t>
  </si>
  <si>
    <t>NMFS (2012), USACE (2014l)</t>
  </si>
  <si>
    <t>Virginia Beach Hurricane Protection and Renourishment Project</t>
  </si>
  <si>
    <t>Annual beach fill since 1951, with over 12.89 mcy total deposited from 1951-1996; annual episodes a mix of federal, state and local projects with material bypassed (dredged) from Rudee Inlet and/or truck hauled from dredging of Lynnhaven Inlet; federal Beach Erosion and Hurricane Protection Plan initially constructed 1996-2002 with a new seawall from the inlet to 58th St. (1996-2000) and fill and dunes (2000-02) from Rudee Inlet to 89th St.  Between December 2012 and May 2013, 1.25 mcy of sediment was placed on the beach.</t>
  </si>
  <si>
    <t>Lillycrop et al. (1988), Fenster and Dolan (1999), Greene (2002), PSDS (2016)</t>
  </si>
  <si>
    <t>Greene (2002), NMFS (2012), PSDS (2016)</t>
  </si>
  <si>
    <t>Virginia Beach Beaches and Waterways Advisory Commission (2002), PSDS (2016), Norfolk District USACE website</t>
  </si>
  <si>
    <t>Greene (2002), Dallas et al. (2013), PSDS (2016)</t>
  </si>
  <si>
    <t>Dallas et al. (2013), PSDS (2016)</t>
  </si>
  <si>
    <t>Beck and Kraus (2010), PSDS (2016)</t>
  </si>
  <si>
    <t>Pilkey and Clayton (1989), Farrell et al. (1989), USACE (1999b), PSDS (2016)</t>
  </si>
  <si>
    <t>USACE (1999b), PSDS (2016)</t>
  </si>
  <si>
    <t>USACE (1999b), NJDEP (2010), PSDS (2016)</t>
  </si>
  <si>
    <t>USFWS (2005), NMFS (2014), PSDS (2016), USACE Philaelphia District website</t>
  </si>
  <si>
    <t>Nordstrom (1988), Greene (2002), USFWS (2005), Campbell and Benedet (2006), NMFS (2014), PSDS (2016)</t>
  </si>
  <si>
    <t>USFWS (2005), NJDEP (2009a, b), PSDS (2016)</t>
  </si>
  <si>
    <t>Nordstrom (1988), NJDEP (2009a, b), PSDS (2016)</t>
  </si>
  <si>
    <t>Stauble and Tabar (2003), USFWS (2005), Hafner (2012), Google Earth (2014), NMFS (2014), PSDS (2016)</t>
  </si>
  <si>
    <t>NJDEP (2009a, b), PSDS (2016)</t>
  </si>
  <si>
    <t>USFWS (2005), NMFS (2014), PSDS (2016), USACE Philadelphia District website</t>
  </si>
  <si>
    <t>Land Use Ecological Services et al. (2008), Coburn et al. (2010), Greene (2002), Suffolk County (2008), PSDS (2016)</t>
  </si>
  <si>
    <t>USACE (1963), Land Use Ecological Ecological Services et al. (2008), Coburn et al. (2010), USACE New York District website, PSDS (2016)</t>
  </si>
  <si>
    <t>USACE (1963), Land Use Ecological Ecological Services et al. (2008), Coburn et al. (2010), Greene (2002), PSDS (2016)</t>
  </si>
  <si>
    <t>USACE (1963), Land Use Ecological Ecological Services et al. (2008), Coburn et al. (2010), PSDS (2016)</t>
  </si>
  <si>
    <t>USACE (1963), Land Use Ecological Ecological Services et al. (2008), Coburn et al. (2010), CPE (2009a), PSDS (2016)</t>
  </si>
  <si>
    <t>Land Use Ecological Ecological Services et al. (2008), Coburn et al. (2010), USACE (2013a), PSDS (2016), USFWS (2014a, c), USACE NY District website</t>
  </si>
  <si>
    <t>Koppelman and Forman (2008, p. 29), PSDS (2016)</t>
  </si>
  <si>
    <t>Hanc (2007, p. 14), PSDS (2016)</t>
  </si>
  <si>
    <t>Greene (2002), CPE (2009b), PSDS (2016)</t>
  </si>
  <si>
    <t>CPE (2009b), PSDS (2016)</t>
  </si>
  <si>
    <t>Greene (2002), PSDS (2016), USACE NY District website</t>
  </si>
  <si>
    <t>The City of Virginia Beach periodically mines the ebb shoal of Rudee Inlet at the mouth of the jetties and places the dredged material from the inlet to 14th Street as beach fill or in the nearshore north of the inlet. The 2004 USACE permit for the project was renewed in 2015. Approximately 150,000 cy of sediment are mined in each cycle.  The City of Virginia Beach also periodically places sediment dredged from the inlet channels of Rudee Inlet on the beach from the inlet to 14th Street. Sediment is bypassed to the north across Rudee Inlet by the City of Virginia Beach on a nearly continuous basis.</t>
  </si>
  <si>
    <t>City of Virginia Beach (2013), USACE (2015k)</t>
  </si>
  <si>
    <t>2004, 2013-14</t>
  </si>
  <si>
    <t>Initial project constructed a 5,282 ft long stone seawall buried in an artificial dune plus beach fill, using dredged and upland sources; beach fill extends approximately 0.5 miles north and south of the dune / seawall.  Initial placement in 1996 placed sediment along 9,280 ft; the 2013-14 episode placed sediment along 10,050 ft.</t>
  </si>
  <si>
    <t>Dan Neck Naval Base Sediment Placement</t>
  </si>
  <si>
    <t>Sandbridge Hurricane Protection and Beach Renourishment Project</t>
  </si>
  <si>
    <r>
      <t xml:space="preserve">1998, </t>
    </r>
    <r>
      <rPr>
        <sz val="11"/>
        <rFont val="Calibri"/>
        <family val="2"/>
        <scheme val="minor"/>
      </rPr>
      <t>2003, 2005, 2013</t>
    </r>
  </si>
  <si>
    <t>Local Hurricane Protection and Beach Renourishment Project initially constructed 1998; project primarily funded by City of Virginia Beach in partnership with USACE; 1962 episode was a federal emergency project following Ash Wednesday Storm along 11,088 ft of beach.  After Hurricane Sandy, 2,134,850 cy of sediment was placed on the beach in 2013 as both renourishment and FCCE repairs.</t>
  </si>
  <si>
    <t>Charlestown</t>
  </si>
  <si>
    <t>Newport</t>
  </si>
  <si>
    <t>Little Compton</t>
  </si>
  <si>
    <t>Warren's Point Beach Club</t>
  </si>
  <si>
    <t>RI CRMC Permit IDApp. 2016-05-021</t>
  </si>
  <si>
    <t>In 2016 the Warren's Point Beach Club on Atlantic Drive in Little Compton proposed to place sediment along an unknown length of beach (RI CRMC Permit IDApp. 2016-05-021). Sediment was previously placed on the beach in 2007 and 2011.</t>
  </si>
  <si>
    <t>South Shore Beach</t>
  </si>
  <si>
    <t>Shaw Road</t>
  </si>
  <si>
    <t>RI CRMC Permit IDApp 2004-01-039 &amp;  2010-05-026</t>
  </si>
  <si>
    <t>Town of Little Compton removed overwash sand and cobble from parking lots and placed material on the beach in both 2004 (RI CRMC Permit IDApp 2004-01-039) and 2010 (RI CRMC Permit IDApp 2010-05-026).</t>
  </si>
  <si>
    <t>RI CRMC Permit IDApp 2001-04-126</t>
  </si>
  <si>
    <t>Removal of overwashed cobbles and stone from parking lot and placement on beach in 2007</t>
  </si>
  <si>
    <t>RI CRMC Permit IDapp 2007-04-171 &amp; 2011-05-99</t>
  </si>
  <si>
    <t>Removal of cobbles from pathway and adding approximately 200 cy of sand to the walkway in both 2007 (RI CRMC Permit IDapp 2007-04-171) and 2011 (RI CRMC Permit IDapp 2011-05-99).</t>
  </si>
  <si>
    <t>Bailey's Beach / Spouting Rock Beach</t>
  </si>
  <si>
    <t>RI CRMC Permit IDApp. 2003-03-017 &amp; 2007-05-004</t>
  </si>
  <si>
    <t>Removed overwash material and placed back on beach in 2003 (RI CRMC Permit IDApp. 2003-03-017).  Reconstructed approximately 100 ft of overwashed dune using sand from Bailey's Beach in 2007 (RI CRMC Permit IDApp. 2007-05-004).</t>
  </si>
  <si>
    <t>Hazard's Beach</t>
  </si>
  <si>
    <t>Removed overwash sand from parking lot and placed on beach above MLW in 2006 (RI CRMC Permit IDApp. 2006-05-060).</t>
  </si>
  <si>
    <t>RI CRMC Permit IDApp. 2006-05-060</t>
  </si>
  <si>
    <t>800 cy of sand added to beach in July 2012</t>
  </si>
  <si>
    <t>RI CRMC Permit IDApp. 2012-07-013</t>
  </si>
  <si>
    <t>590 Ocean Avenue</t>
  </si>
  <si>
    <t>Jamesport</t>
  </si>
  <si>
    <t>Beavertail Road</t>
  </si>
  <si>
    <t>Town of Jamestown CRMC Permit to remove sand from parking lot and place it on dunes in 2009</t>
  </si>
  <si>
    <t>RI CRMC IDApp 2009-05-116</t>
  </si>
  <si>
    <t>Mackerel Cove Town Beach</t>
  </si>
  <si>
    <t>RI CRMC Permit IDApp. 2013-03-155</t>
  </si>
  <si>
    <t>The Town of Jamestown restored the dunes damaged by Hurricane Sandy.  Google Earth imagery indicates sediment was placed, vegetation planted and sand fencing installed. A portion of the beach was previously modified by sediment placement in 2009.</t>
  </si>
  <si>
    <t>Washington</t>
  </si>
  <si>
    <t>Narragansett</t>
  </si>
  <si>
    <t>Bonnet Shores Beach Club</t>
  </si>
  <si>
    <t>Removed overwash material from parking area and under beach pavilion at 175 Bonnet Point Road and placed the material back on the beach in 2007.</t>
  </si>
  <si>
    <t>RI CRMC Permit IDApp. 2007-04-170</t>
  </si>
  <si>
    <t>129 Boston Neck Road</t>
  </si>
  <si>
    <t>Narragansett Town Beach</t>
  </si>
  <si>
    <t>2006, 2008</t>
  </si>
  <si>
    <t>Overwash sand was placed back on the beach in 2005 (RI CRMC Permit IDApp. 2005-02-030), 2006 (RI CRMC Permit IDApp. 2006-03-003), and 2008 (RI CRMC Permit IDApp. 2008-02-038).</t>
  </si>
  <si>
    <t>RI CRMC Permit IDApp. 2005-02-030,  2006-03-003 &amp; 2008-02-038</t>
  </si>
  <si>
    <t>2007 (2x)</t>
  </si>
  <si>
    <t>2009, 2013, 2014 (some areas annually)</t>
  </si>
  <si>
    <t>The Town of Narragansett redistributed replenished sand on Town beach twice in 2007 (RI CRMC Permit IDApp. 2007-05-051 and 2007-04-140) and 2009 (RI CRMC Permit IDApp. 2009-05-058), with the latter including the addition of approximately 500 cy of sand at the south beach retaining wall.  Woods Hole Group (2011) reports that the Town places small amounts of sediment on the beach annually as needed.  After Hurricane Sandy, the Town restored the beach and dunes to their prestorm condition with sediment placement (RI CRMC Permit IDApp. 2012-12-041). The Town placed another ~500 cy of sediment on the beach in 2014 (RI CRMC Permit IDApp.2014-04-043).</t>
  </si>
  <si>
    <t>Woods Hole Group (2011), RI CRMC Permit IDApp. 2007-05-051, 2007-04-140, 2009-05-058, 2012-12-041 &amp; 2014-04-043</t>
  </si>
  <si>
    <t>89 Stanton Avenue</t>
  </si>
  <si>
    <t>81 Stanton Avenue</t>
  </si>
  <si>
    <t>Removed overwash stone and returned to beach in 2007</t>
  </si>
  <si>
    <t>RI CRMC Permit IDApp. 2007-04-132</t>
  </si>
  <si>
    <t>Removed overwash stone back to beach in 2011</t>
  </si>
  <si>
    <t>RI CRMC Permit IDApp. 2011-12-038</t>
  </si>
  <si>
    <t>Federal SSSA project along 5,280 ft that also constructed 5 groins and a bulkhead along the eastern half of the beach; project location is assumed based on the location of the 5 groins</t>
  </si>
  <si>
    <t>Point Judith Harbor Dredged Material Placement</t>
  </si>
  <si>
    <t>31 Beach Row</t>
  </si>
  <si>
    <t>Removed overwash sand and placed back on beach in 2001</t>
  </si>
  <si>
    <t>RI CRMC Permit IDApp. 2001-09-092</t>
  </si>
  <si>
    <t>Kenyon Condo Association (Beach Row)</t>
  </si>
  <si>
    <t>Kenyon Condo Association removed overwash sand and placed it back on the beach in 2004 (RI CRMC Permit IDApp. 2004-05-026) and 2009 (RI CRMC Permit IDApp. 2009-04-010).</t>
  </si>
  <si>
    <t>RI CRMC Permit IDApp. 2004-05-026 &amp; 2009-04-010</t>
  </si>
  <si>
    <t>1105 Succotash Road</t>
  </si>
  <si>
    <t>Overwash sand was removed from parking area along Succotash Road and placed on the beach in 2007</t>
  </si>
  <si>
    <t>RI CRMC Permit IDApp. 2007-06-058</t>
  </si>
  <si>
    <t>South Kingstown</t>
  </si>
  <si>
    <t>1039 Matunuck Beach Road</t>
  </si>
  <si>
    <t>1023 Matunuck Beach Road</t>
  </si>
  <si>
    <t>The Last Word, LLC</t>
  </si>
  <si>
    <t>1001 Matunuck Beach Road</t>
  </si>
  <si>
    <t>995 Matunuck Beach Road</t>
  </si>
  <si>
    <t>935A, B &amp; C Matunuck Beach Road</t>
  </si>
  <si>
    <t>855 Matunuck Beach Road</t>
  </si>
  <si>
    <t>240 Cards Pond Road</t>
  </si>
  <si>
    <t>Town of South Kingstown Weeden Farm Beach</t>
  </si>
  <si>
    <t>Matunuck by the Sea Improvement Association</t>
  </si>
  <si>
    <t>RI CRMC Permit IDApp. 2007-05-081</t>
  </si>
  <si>
    <t>Narragnasett Salt Water Fishing Club</t>
  </si>
  <si>
    <t>Beach fill, sand fencing and beach grass in 2007 (RI CRMC Permit IDApp. 2007-05-098) and 2010 (RI CRMC Permit IDApp. 2010-12-057).</t>
  </si>
  <si>
    <t>RI CRMC Permit IDApp. 2007-05-098 &amp; 2010-12-057</t>
  </si>
  <si>
    <t>RI CRMC Permit IDApp. 2007-05-083</t>
  </si>
  <si>
    <t>Replenished dune in 2007</t>
  </si>
  <si>
    <t>RI CRMC Permit IDApp. 2007-05-082</t>
  </si>
  <si>
    <t>Installed sand bags and 5 cy of sand fill in 2010</t>
  </si>
  <si>
    <t>RI CRMC Permit IDApp. 2010-04-003</t>
  </si>
  <si>
    <t>RI CRMC Permit IDApp. 2010-04-004</t>
  </si>
  <si>
    <t>Install sand bags and approximately 5 cy of sand in 2010</t>
  </si>
  <si>
    <t>929 Matunuck Beach Road</t>
  </si>
  <si>
    <t>921A Matunuck Beach Road</t>
  </si>
  <si>
    <t>2015 ?</t>
  </si>
  <si>
    <t>Private property owner placed sand on the beach in 2013 after Hurricane Sandy (RI CRMC Permit IDApp. 2013-05-185). The property owner may have also placed sediment in 2015 (RI CRMC Permit IDApp. 2015-06-103).</t>
  </si>
  <si>
    <t>RI CRMC Permit IDApp. 2013-05-185 &amp; 2015-06-103</t>
  </si>
  <si>
    <t>Private property owner placed sand on the beach in 2013 after Hurricane Sandy (RI CRMC Permit IDApp. 2013-05-184). The property owner may have also placed sediment in 2015 (RI CRMC Permit IDApp. 2015-06-102).</t>
  </si>
  <si>
    <t>RI CRMC Permit IDApp. 2013-05-184 &amp; 2015-06-102</t>
  </si>
  <si>
    <t>RI CRMC Permit IDApp. 2007-05-088</t>
  </si>
  <si>
    <t>Fill added to site following removal of contaminated sediment in 2007</t>
  </si>
  <si>
    <t>RI CRMC Permit IDApp. 2009-04-021 describes 2009 work as "clean debris, add sand, grade and plant native plants."</t>
  </si>
  <si>
    <t>RI CRMC Permit IDApp. 2009-04-021</t>
  </si>
  <si>
    <t>Beach fill placed in 2003 (RI CRMC Permit IDApp. 2003-04-016) and 2005 (RI CRMC Permit IDApp. 2005-04-116).   After Hurricane Sandy, sediment was placed on the beach by the Town of South Kingstown to restore the dunes (RI CRMC Permit IDApp. 2013-04-044).</t>
  </si>
  <si>
    <t>2005, 2013</t>
  </si>
  <si>
    <t>RI CRMC Permit IDApp. 2003-04-016, 2005-04-116 &amp; 2013-04-044</t>
  </si>
  <si>
    <t>2009, 2012</t>
  </si>
  <si>
    <t>Beach fill and sandbags placed on beach in 2004 (RI CRMC Permit IDApp. 2004-03-001).  Overwash sand placed back on beach in 2009 (RI CRMC Permit IDApp. 2009-05-052).  "Annual replenishment" and "beach maintenance" in May 2012 (RI CRMC Permit IDApp. 2012-05-110).</t>
  </si>
  <si>
    <t>RI CRMC Permit IDApp. 2004-03-001, 2009-05-052 &amp; 2012-05-110</t>
  </si>
  <si>
    <t>392B &amp; 293C Cards Pond Road</t>
  </si>
  <si>
    <t>Adjacent private property owners placed sand on the beach to restore the dunes in 2013 after Hurricane Sandy</t>
  </si>
  <si>
    <t>RI CRMC Permit IDApp. 2013-05-233</t>
  </si>
  <si>
    <t>7 Green Hill Avenue</t>
  </si>
  <si>
    <t>Private property owner placed sand on the beach to restore the dune in 2013 after Hurricane Sandy</t>
  </si>
  <si>
    <t>RI CRMC Permit IDApp. 2013-04-019</t>
  </si>
  <si>
    <t>Remove overwash sand from parking lot and place on beach, repair sand fencing and plant dune grass in 2007 (RI CRMC Permit IDApp. 2007-010-073).  Remove overwash sand from parking lot and place on dune n 2009 (RI CRMC Permit IDApp. 2009-11-014).</t>
  </si>
  <si>
    <t>RI CRMC Permit IDApp. 2007-010-073 &amp; 2009-11-014</t>
  </si>
  <si>
    <t>142 Green Hill Ocean Drive</t>
  </si>
  <si>
    <t>146 Green Hill Ocean Drive</t>
  </si>
  <si>
    <t>150 Green Hill Ocean Drive</t>
  </si>
  <si>
    <t>156 Green Hill Ocean Drive</t>
  </si>
  <si>
    <t>162 Green Hill Ocean Drive</t>
  </si>
  <si>
    <t>1154 Charlestown Beach Road</t>
  </si>
  <si>
    <t>1002 Charlestown Beach Road</t>
  </si>
  <si>
    <t>Beach fill and sand fencing in 2007</t>
  </si>
  <si>
    <t>RI CRMC Permit IDApp. 2007-04-121</t>
  </si>
  <si>
    <t>Beach fill and sand fencing in 2003 (RI CRMC Permit IDApp. 2003-02-072) and 2006 (RI CRMC Permit IDApp. 2006-03-113).</t>
  </si>
  <si>
    <t>RI CRMC Permit IDApp. 2003-02-072 &amp; 2006-03-113</t>
  </si>
  <si>
    <t>Fill on beach in 2006</t>
  </si>
  <si>
    <t>RI CRMC Permit IDApp. 2006-03-129</t>
  </si>
  <si>
    <t>Beach fill in 2006 (RI CRMC Permit IDApp. 2006-03-104) and 2007 (RI CRMC Permit IDApp. 2007-05-134) with 100 cy placed on the beach in the 2007 episode.</t>
  </si>
  <si>
    <t>RI CRMC Permit IDApp. 2006-03-104 &amp; 2007-05-134</t>
  </si>
  <si>
    <t>Beach fill placed on beach in 2006 (RI CRMC Permit IDApp. 2006-02-076) and 2009 (RI CRMC Permit IDApp. 2009-05-087).</t>
  </si>
  <si>
    <t>RI CRMC Permit IDApp. 2006-02-076 &amp; 2009-05-087</t>
  </si>
  <si>
    <t>1,000 cy of beach and dune fill in 2007 (RI CRMC Permit IDApp. 2007-04-168).  Repair dune and beach with 60 cy of fill and dune fencing following Hurricane Irene in 2011 (RI CRMC Permit IDApp. 2011-09-077).</t>
  </si>
  <si>
    <t>RI CRMC Permit IDApp. 2007-04-168 &amp; 2011-09-077</t>
  </si>
  <si>
    <t>980 Charlestown Beach Road</t>
  </si>
  <si>
    <t>954 Charlestown Beach Road</t>
  </si>
  <si>
    <t>944 Charlestown Beach Road</t>
  </si>
  <si>
    <t>926 Charlestown Beach Road</t>
  </si>
  <si>
    <t>920 Charlestown Beach Road</t>
  </si>
  <si>
    <t>910 Charlestown Beach Road</t>
  </si>
  <si>
    <t>902 Charlestown Beach Road</t>
  </si>
  <si>
    <t>896 Charlestown Beach Road</t>
  </si>
  <si>
    <t>Place sand on beach ramp, install sand fencing and plant dune grass in 2007</t>
  </si>
  <si>
    <t>RI CRMC Permit IDApp. 2007-05-086</t>
  </si>
  <si>
    <t>Dune fill with 300 cy of sand, install sand fencing and plant beach grass in 2007</t>
  </si>
  <si>
    <t>RI CRMC Permit IDApp. 2007-05-175</t>
  </si>
  <si>
    <t>Place approximately 200 cy of beach fill, install sand fencing and plant beach grass in 2007</t>
  </si>
  <si>
    <t>RI CRMC Permit IDApp. 2007-04-150 &amp; 2007-05-001</t>
  </si>
  <si>
    <t>Replenish beach, install sand fencing and beach grass in 2007</t>
  </si>
  <si>
    <t>RI CRMC Permit IDApp. 2007-05-107</t>
  </si>
  <si>
    <t>Beach fill of approximately 100 cy in 2007 (RI CRMC Permit IDApp. 2007-05-034 and 2007-05-002).  Replenish dunes, install sand fencing and plantings in 2011 (RI CRMC Permit IDApp. 2011-10-133).</t>
  </si>
  <si>
    <t>RI CRMC Permit IDApp. 2007-05-034, 2007-05-002 &amp; 2011-10-133</t>
  </si>
  <si>
    <t>Beach fill of approximately 200 cy along with replacement of stairs, sand fencing and grass plantings in 2007 (RI CRMC Permit IDApp. 2007-05-020).  Replenish dune area, install sand fencing and dune plantings in 2011 (RI CRMC Permit IDApp. 2011-10-131).</t>
  </si>
  <si>
    <t>RI CRMC Permit IDApp. 2007-05-020 &amp; 2011-10-131</t>
  </si>
  <si>
    <t>Replenished beach in 2007</t>
  </si>
  <si>
    <t>RI CRMC Permit IDApp. 2007-06-018</t>
  </si>
  <si>
    <t>Beach fill of approximately 200 cy, install sand fencing and plantings in 2007 (RI CRMC Permit IDApp. 2007-06-038 and 2007-06-040).  Replenish dunes, install sand fencing and plantings in 2011 (RI CRMC Permit IDApp. 2011-10-134).</t>
  </si>
  <si>
    <t>RI CRMC Permit IDApp. 2007-06-038, 2007-06-040 &amp; 2011-10-134</t>
  </si>
  <si>
    <t>Beach fill with 100 cy in 2007</t>
  </si>
  <si>
    <t>RI CRMC Permit IDApp. 2007-05-146</t>
  </si>
  <si>
    <t>892 Charlestown Beach Road</t>
  </si>
  <si>
    <t>872 Charlestown Beach Road</t>
  </si>
  <si>
    <t>865 Charlestown Beach Road</t>
  </si>
  <si>
    <t>820 Charlestown Beach Road</t>
  </si>
  <si>
    <t>760 Charlestown Beach Road</t>
  </si>
  <si>
    <t>Beach fill with 200 cy in 2007 (RI CRMC Permit IDApp. 2007-05-127).  Replenish dunes, install sand fencing and plantings in 2011 (RI CRMC Permit IDApp. 2011-10-132).</t>
  </si>
  <si>
    <t>RI CRMC Permit IDApp. 2007-05-127 &amp; 2011-10-132</t>
  </si>
  <si>
    <t>Beach fill in 2007</t>
  </si>
  <si>
    <t>RI CRMC Permit IDApp. 2007-06-068</t>
  </si>
  <si>
    <t>Beach fill with approximately 2,000 cy of sand</t>
  </si>
  <si>
    <t>RI CRMC Permit IDApp. 2007-04-113 &amp; 2007-04-119</t>
  </si>
  <si>
    <t>Remove 200 cy of overwash sand and place on dune in 2007</t>
  </si>
  <si>
    <t>RI CRMC Permit IDApp. 2007-05-060</t>
  </si>
  <si>
    <t>Ninigret and Cross Mills Ponds Habitat Restoration Project (East Beach)</t>
  </si>
  <si>
    <t>sediment dredged from a sedimentation basin and the flood tidal shoals of Charlestown Breachway in Ninigret Pond were placed on East and Charlestown Beaches by the USACE in 2004-05 (150,000 cy) and 2007-08 (47,000 cy) as part of the Ninigret and Cross Mills Ponds Habitat Restoration Project; maintenance of the dredged areas by the RI CRMC may place sediment on East Beach periodically.   Precise project locations were not available.</t>
  </si>
  <si>
    <t>RI CRMC Permit IDApp. 2000-06-107</t>
  </si>
  <si>
    <t>Private removal and relocation of sand on dune in 2000</t>
  </si>
  <si>
    <t>Westerly</t>
  </si>
  <si>
    <t>Ninigret and Cross Mills Ponds Habitat Restoration Project (Charlestown Beach)</t>
  </si>
  <si>
    <t>Sediment dredged from Charlestown Breachway and the Ninigret and Cross Mills Ponds Habitat Restoration Project were placed on the beach by the USACE in 2004-05 and 2006; inlet(s) artificially opened on a nearly annual basis since Colonial times may have also placed sediment on the beach</t>
  </si>
  <si>
    <t>Wawaloam Drive Beach</t>
  </si>
  <si>
    <t>2007, 2015</t>
  </si>
  <si>
    <t>The Weekapaug Fire District redistributed sand, clean and removed contaminated sand, removed debris, repaired boardwalk and installed sand fencing in 2005 (RI CRMC Permit IDApp. 2005-01-067).  The Fire District placed beach fill "to create a dissipative beach for beach control" in 2007 (RI CRMC Permit IDApp. 2007-04-165).  After Hurricane Sandy, the Weekapaug Fire District installed snow fencing, placed sediment on the beach, and raked the beach in 2015 (RI CRMC Permit IDApp. 2015-06-006).</t>
  </si>
  <si>
    <t>RI CRMC Permit IDApp. 2005-01-067, 2007-04-165 &amp; 2015-06-006</t>
  </si>
  <si>
    <t>665 Atlantic Avenue</t>
  </si>
  <si>
    <t>2003, 2006</t>
  </si>
  <si>
    <t>RI CRMC Permit IDApp. 2016-06-057</t>
  </si>
  <si>
    <t>In 2016, the private property owner proposed to place sediment on the upper beach and/or dune.  Sediment was previously placed on the beach in 2000, 2003 and 2006.</t>
  </si>
  <si>
    <t>Place beach fill on dune ramp in 2000 (RI CRMC Permit IDApp. 2000-04-013).  Redistribute sediment and install sand fencing in 2003 (RI CRMC Permit IDApp. 2003-05-030).  Place beach fill on upper beach and dune ramp; beach rake daily from May 15 to September 15 in 2006 (RI CRMC Permit IDApp. 2006-04-007).</t>
  </si>
  <si>
    <t>RI CRMC Permit IDApp. 2000-04-013, 2003-05-030 &amp; 2006-04-007</t>
  </si>
  <si>
    <t>651 Atlantic Avenue</t>
  </si>
  <si>
    <t>2003, 2006, 2009</t>
  </si>
  <si>
    <t>Beach fill or removal of overwash material and placement back on beach in 2000 (RI CRMC Permit IDApp. 2000-03-011) and 2003 (RI CRMC Permit IDApp. 2003-02-008).  "Redistribute sand collected by snow fence" in 2006 (RI CRMC Permit IDApp. 2006-01-065).  "Redistribute sand on beach" in 2009 (RI CRMC Permit IDApp. 2009-01-033).</t>
  </si>
  <si>
    <t>RI CRMC Permit IDApp. 2000-03-011, 2003-02-008, 2006-01-065 &amp; 2009-01-033</t>
  </si>
  <si>
    <t>439 Atlantic Avenue</t>
  </si>
  <si>
    <t>461 Atlantic Avenue</t>
  </si>
  <si>
    <t>425 Atlantic Avenue</t>
  </si>
  <si>
    <t>379 Atlantic Avenue</t>
  </si>
  <si>
    <t>Westerly Town Beach</t>
  </si>
  <si>
    <t>337 Atlantic Avenue</t>
  </si>
  <si>
    <t>311 Atlantic Avenue</t>
  </si>
  <si>
    <t>301 Atlantic Avenue</t>
  </si>
  <si>
    <t>159 Atlantic Avenue</t>
  </si>
  <si>
    <t>155 Atlantic Avenue</t>
  </si>
  <si>
    <t>137 Atlantic Avenue</t>
  </si>
  <si>
    <t>Misquamicut State Beach</t>
  </si>
  <si>
    <t>89 Atlantic Avenue</t>
  </si>
  <si>
    <t>45 Atlantic Avenue</t>
  </si>
  <si>
    <t>35 Atlantic Avenue</t>
  </si>
  <si>
    <t>Misquamicut Beach Club</t>
  </si>
  <si>
    <t>New Shoreham</t>
  </si>
  <si>
    <t>RI CRMC Permit IDApp. 2007-05-044</t>
  </si>
  <si>
    <t>RI CRMC Permit IDApp. 2007-04-162</t>
  </si>
  <si>
    <t>Sediment placement in dune area in 2011</t>
  </si>
  <si>
    <t>RI CRMC Permit IDApp. 2011-10-045</t>
  </si>
  <si>
    <t>Beach fill of approximately 288 tons of sand placed on beach in 2007</t>
  </si>
  <si>
    <t>RI CRMC Permit IDApp. 2007-04-167</t>
  </si>
  <si>
    <t>377 Atlantic Avenue</t>
  </si>
  <si>
    <t>Private property owner placed sand on the beach in 2013 to restore the dune after Hurricane Sandy</t>
  </si>
  <si>
    <t>RI CRMC Permit IDApp. 2013-03-049</t>
  </si>
  <si>
    <t>Remove overwash sand from parking lot and return to beach in 2007 (RI CRMC Permit IDApp. 2007-04-138).  Beach fill following Hurricane Irene in 2011 (RI CRMC Permit IDApp. 2011-09-106).</t>
  </si>
  <si>
    <t>RI CRMC Permit IDApp. 2007-04-138 &amp; 2011-09-106</t>
  </si>
  <si>
    <t>Increased the length of the dune that is 7 ft high in 2006 (RI CRMC Permit IDApp. 2006-02-033).  Town of Westerly placed beach fill and restored dunes in 2007 (RI CRMC Permit IDApp. 2007-04-090) and 2010 (RI CRMC Permit IDApp. 2010-12-002).</t>
  </si>
  <si>
    <t>RI CRMC Permit IDApp. 2006-02-033, 2007-04-090 &amp; 2010-12-002</t>
  </si>
  <si>
    <t>2007, 2010</t>
  </si>
  <si>
    <t>Beach fill of approximately 230 cy in 2007</t>
  </si>
  <si>
    <t>RI CRMC Permit IDApp. 2007-04-090</t>
  </si>
  <si>
    <t>Haddad and Pilkey (1998), USACE (2013w)</t>
  </si>
  <si>
    <t xml:space="preserve">The USACE initially placed 80,000 cy of fill along 3,250 ft of Misquamicut State Beach in 1959-60 (plus ~4,075 ft of sand fencing) and utilized Hurricane Sandy funds to restore the project to its 1960 authorized design profile. Sediment from an upland source was trucked to the beach in early 2014, with an anticipated 90,000 cy to be placed on the state beach. </t>
  </si>
  <si>
    <t>2008, 2011, 2013</t>
  </si>
  <si>
    <t>Beach fill in 2004 (RI CRMC Permit IDApp. 2004-09-034), 2008 (RI CRMC Permit IDApp. 2008-02-068) and 2011 (RI CRMC Permit IDApp. 2011-02-019).  After Hurricane Sandy, sediment was placed to restore the dunes in 2013 (RI CRMC Permit IDApp. 2013-03-214).</t>
  </si>
  <si>
    <t>RI CRMC Permit IDApp. 2004-09-034, 2008-02-068, 2011-02-019 &amp; 2013-03-214</t>
  </si>
  <si>
    <t>Beach fill in 2001</t>
  </si>
  <si>
    <t>RI CRMC Permit IDApp. 2001-02-005</t>
  </si>
  <si>
    <t>139 - 145 Atlantic Avenue</t>
  </si>
  <si>
    <t>RI CRMC Permit IDApp. 2013-02-0110, 2013-02-111, &amp; 2013-02-122</t>
  </si>
  <si>
    <t>Three adjacent property owners placed sediment on the beach to restore the dunes after Hurricane Sandy, in 2013 (RI CRMC Permit IDApp. 2013-02-0110, 2013-02-111, &amp; 2013-02-122). Sediment was previously placed on each of the properties in 2007 (RI CRMC Permit IDApp. 2007-04-097, 2007-04-096 &amp; 2007-04-098).</t>
  </si>
  <si>
    <t>Remove overwash sand from parking lot and place on beach in 2007</t>
  </si>
  <si>
    <t>RI CRMC Permit IDApp. 2007-04-104</t>
  </si>
  <si>
    <t>Redistribute overwash sand from parking lots to beach and clean debris in 2003 at various locations along Atlantic Avenue</t>
  </si>
  <si>
    <t>RI CRMC Permit IDApp. 2003-11-055</t>
  </si>
  <si>
    <t>Misquamicut Fire District (Atlantic Ave. at Lawton Ave.)</t>
  </si>
  <si>
    <t>109 - 117 Atlantic Avenue</t>
  </si>
  <si>
    <t>Four adjacent property owners placed sediment on the beach to restore the dunes after Hurricane Sandy, in 2013</t>
  </si>
  <si>
    <t>RI CRMC Permit IDApp. 2013-03-042, 2013-02-107, 2013-03-038 &amp; 2013-02-108</t>
  </si>
  <si>
    <t>89 - 107 Atlantic Avenue</t>
  </si>
  <si>
    <t>Misquamicut Fire District (101-107 Atlantic Ave.)</t>
  </si>
  <si>
    <t>April 2013 Google Earth imagery suggests that sediment was placed on the beach to construct an artificial dune after Hurricane Sandy from 89 to 107 Atlantic Ave. in Westerly. The tract owned by the Misquamicut Fire District previously placed sediment at 101 - 107 Atlantic Ave. in 2003. Sediment placement is also visible in progress in April 2016 imagery.</t>
  </si>
  <si>
    <t>Google Earth (2016)</t>
  </si>
  <si>
    <t>Beach fill to cover stone revetment in 2007 (RI CRMC Permit IDApp. 2007-04-093) and May 2012 (RI CRMC Permit IDApp. 2012-05-015).  Eastern end of property also received sediment placement in 2013 with adjacent properties to east.</t>
  </si>
  <si>
    <t>RI CRMC Permit IDApp. 2007-04-093 &amp; 2012-05-015</t>
  </si>
  <si>
    <t>The Misquamicut Fire District redistributed overwash sand from parking lots to beach and clean debris in 2003 at various locations along Atlantic Avenue (RI CRMC Permit IDApp. 2003-11-055).  In 2013 after Hurricane Sandy the Fire District placed sediment on the beach to restore the dune (RI CRMC Permit IDApp. 2013-02-142 &amp; 2013-02-143).</t>
  </si>
  <si>
    <t>RI CRMC Permit IDApp. 2003-11-055, 2013-02-142 &amp; 2013-02-143</t>
  </si>
  <si>
    <t>Misquamicut Fire District (77 - 85 Atlantic Ave.)</t>
  </si>
  <si>
    <t>45 - 49 Atlantic Avenue</t>
  </si>
  <si>
    <t>35 &amp; 37 Atlantic Avenue</t>
  </si>
  <si>
    <t>RI CRMC Permit IDApp. 2013-03-041, 2012-11-004, 2013-02-156 &amp; 2013-03-019</t>
  </si>
  <si>
    <t>2012, 2013</t>
  </si>
  <si>
    <t>Placed approximately 260 cy of sand on beach and restacked stone moved by storm in 2007 (RI CRMC Permit IDApp. 2007-05-173).  Beach fill in April 2012 (RI CRMC Permit IDApp. 2012-04-057).  Also received sediment in 2013 with adjacent properties.</t>
  </si>
  <si>
    <t>RI CRMC Permit IDApp. 2007-05-173 &amp; 2012-04-057</t>
  </si>
  <si>
    <t>Sediment was placed on the beach to restore the dunes after Hurricane Sandy at 3 adjacent properties at 45, 47 and 49 Atlantic Ave. in Westerly, in 2013.  The beach at 45 Atlantic Ave. had previously received sediment placement in 2007 and 2012.</t>
  </si>
  <si>
    <t>RI CRMC Permit IDApp. 2013-02-103 &amp; 2013-02-140; Google Earth (2016)</t>
  </si>
  <si>
    <t>Adjacent private property owners at 35 and 37 Atlantic Ave. in Westerly received permits to restore the dunes after Hurricane Sandy (RI CRMC Permit IDApp. 2013-02-103 &amp; 2013-02-140). Google Earth imagery indicates sediment was placed at 4 adjacent properties, 31 through 37 Atlantic Ave.  Sediment had previously been placed at 35 Atlantic Ave.</t>
  </si>
  <si>
    <t>RI CRMC Permit IDApp. 2007-04-183</t>
  </si>
  <si>
    <t>Beach fill in 2007.  Also received sediment placement in 2013 with adjacent properties.</t>
  </si>
  <si>
    <t>Watch Hill Fire District (151 Bay St.)</t>
  </si>
  <si>
    <t>2005, 2009</t>
  </si>
  <si>
    <t>Remove overwash sand from parking area and/or roadway and place back on beach in 2003 (RI CRMC Permit IDApp. 2003-010-43), 2005 (RI CRMC Permit IDApp. 2005-12-003) and 2009 (RI CRMC Permit IDApp. 2009-05-005).</t>
  </si>
  <si>
    <t>RI CRMC Permit IDApp. 2003-010-43, 2005-12-003 &amp; 2009-05-005</t>
  </si>
  <si>
    <t>Napatree Beach</t>
  </si>
  <si>
    <t>1948-49</t>
  </si>
  <si>
    <t xml:space="preserve">Haddad and Pilkey (1998) state that beach fill was placed at Napatree Beach in Westerly prior to 1961.  USACE (2015o) states that 206,000 cy of sediment was dredged in 1948-49 from a new federal channel in Watch Hill Cove and placed on Napatree Beach; the federal channel has not been maintenance dredged since then. Precise project placement location was not available.  The Long Island Sound DMMP anticipates that future dredging of the federal channel or the Watch Hill Yacht Club would place suitable sandy sediment at Napatree Beach or a nearshore site.  </t>
  </si>
  <si>
    <t>Haddad and Pilkey (1998), USACE (2015o)</t>
  </si>
  <si>
    <t>1996-97, 2014-15</t>
  </si>
  <si>
    <t xml:space="preserve">Sediment dredged from the federal Pawcatuck navigation channels has been placed on both the ocean and bayside shorelines of Sandy Point Island.  In 1996-97, approximately 47,000 cy of sediment was placed on the ocean side of the island.  In the winter of 2014-15, approximately 61,900 cy of sediment was dredged from the federal navigation channel and placed on bayside of the island.  </t>
  </si>
  <si>
    <t>1989, 1990, 1993, 2007, 2010</t>
  </si>
  <si>
    <t>RI CRMC Permit IDApp. 2007-04-108 &amp; 2010-12-001; Haddad and Pilkey (1998); PSDS (2016)</t>
  </si>
  <si>
    <t>Beach fill and dune restoration in 2007 (RI CRMC Permit IDApp. 2007-04-108) and 2010 (RI CRMC Permit IDApp. 2010-12-001).  Haddad and Pilkey (1998) and PSDS (2016) document previous placement episodes along 100 to 400 ft with ~ 1,000 cy of sediment.</t>
  </si>
  <si>
    <t>Great Salt Pond, Block Island Dredged Material Placement</t>
  </si>
  <si>
    <t xml:space="preserve">In 2009, 30,316 cy of sediment dredged from the federal navigation channel(s) in Great Salt Pond was placed on nearby beach(es), but precise project locations were not available.  </t>
  </si>
  <si>
    <t>Inner Basin, Block Island Dredged Material Placement</t>
  </si>
  <si>
    <t>A June 4, 2012, Public Notice from the USACE New England District proposed to place sediment dredged from the Inner Basin federal navigation channel(s) along the beach at Corn Neck Road periodically for 10 years.  Precise project length information was not available.  It is unknown whether the beach disposal site was used prior to Hurricane Sandy in October 2012.</t>
  </si>
  <si>
    <t>USACE Public Notice dated June 4, 2012</t>
  </si>
  <si>
    <t>Block Island Harbor Dredged Material Placement</t>
  </si>
  <si>
    <t>federal navigation project with 7,674 cy in 2009 and 16,000 cy in 1987; a June 4, 2012 USACE Public Notice states that maintenance dredging of the Block Island Harbor of Refuge occurred 27 times between 1928 and 2011, with the 2011 dredging episode placing the material at a nearshore disposal site off of Crescent Beach; in 2012 the USACE proposed to place material dredged from the Inner Basin at an upland beach site adjacent to Corn Neck Road with periodic use of that site for 10 years</t>
  </si>
  <si>
    <t>NOTE:  sums listed here may differ slightly from individual state totals on other worksheets due to rounding</t>
  </si>
  <si>
    <t>Groton</t>
  </si>
  <si>
    <t>New London</t>
  </si>
  <si>
    <t>Waterford</t>
  </si>
  <si>
    <t>Old Lyme</t>
  </si>
  <si>
    <t>Old Saybrook</t>
  </si>
  <si>
    <t>Clinton</t>
  </si>
  <si>
    <t>Madison</t>
  </si>
  <si>
    <t>Guilford</t>
  </si>
  <si>
    <t>Branford</t>
  </si>
  <si>
    <t>East Haven</t>
  </si>
  <si>
    <t>West Haven</t>
  </si>
  <si>
    <t>Milford</t>
  </si>
  <si>
    <t>Stratford</t>
  </si>
  <si>
    <t>Bridgeport</t>
  </si>
  <si>
    <t>Fairfield</t>
  </si>
  <si>
    <t>Norwalk</t>
  </si>
  <si>
    <t>Stamford</t>
  </si>
  <si>
    <t>Eastern Point Beach</t>
  </si>
  <si>
    <t>Esker Point Park</t>
  </si>
  <si>
    <t>Neptune Park</t>
  </si>
  <si>
    <t>Seaside Regional Center</t>
  </si>
  <si>
    <t>Point O'Woods</t>
  </si>
  <si>
    <t>White Sand Beach</t>
  </si>
  <si>
    <t>Chalker Beach</t>
  </si>
  <si>
    <t>Clinton Town Beach</t>
  </si>
  <si>
    <t>Clinton Harbor Dredge Material Placement</t>
  </si>
  <si>
    <t>Guilford Point Beach</t>
  </si>
  <si>
    <t>Jacob's Beach</t>
  </si>
  <si>
    <t>Branford Point Park</t>
  </si>
  <si>
    <t>West Silver Sands Beach</t>
  </si>
  <si>
    <t>Savin Rock</t>
  </si>
  <si>
    <t>Sea Bluff Beach</t>
  </si>
  <si>
    <t>Prospect Beach</t>
  </si>
  <si>
    <t>Woodmont Beach</t>
  </si>
  <si>
    <t>Gulf Beach</t>
  </si>
  <si>
    <t>Laurel Beach</t>
  </si>
  <si>
    <t>Pleasure Beach</t>
  </si>
  <si>
    <t>Fairfield Beach</t>
  </si>
  <si>
    <t>West Fairfield Beach</t>
  </si>
  <si>
    <t>Sasco Hill Beach</t>
  </si>
  <si>
    <t>Southport Beach</t>
  </si>
  <si>
    <t>Burial Hill Beach</t>
  </si>
  <si>
    <t>Sherwood Island State Park</t>
  </si>
  <si>
    <t>Compo Beach</t>
  </si>
  <si>
    <t>Cove Island</t>
  </si>
  <si>
    <t>Cummings Park</t>
  </si>
  <si>
    <t>Middlesex</t>
  </si>
  <si>
    <t>New Haven</t>
  </si>
  <si>
    <t>Railroad Beach, Cini Memorial Park</t>
  </si>
  <si>
    <t>Weggel et al. (2011), Google Earth (2016)</t>
  </si>
  <si>
    <t xml:space="preserve">In 2013 Amtrak and the Town completed improvements to Railroad Beach (part of Cini Memorial Park) on the west shoulder of the inlet at the Niantic River.  As part of a railroad bridge replacement at the adjacent Niantic River inlet, the public beach was modified by armor and sediment placement.  Prior to Hurricane Sandy a terminal groin was under construction but not completed and the shoreline lacked a wide, continuous beach.  In 2013 a half-mile continuous beach was restored and widened via sediment placement from an upland source, creating an additional ~345 ft (~105 m) of sandy beach habitat that were absent in 2012.  </t>
  </si>
  <si>
    <t>East Lyme (Niantic)</t>
  </si>
  <si>
    <t>Giants Neck Improvement Club Sediment Placement</t>
  </si>
  <si>
    <t>CT DEEP (2016b)</t>
  </si>
  <si>
    <t>The Giants Neck Improvement Club proposed to place 1,180 cy of sediment from an upland source along 1,115 ft of beach along Giants Neck Road in Niantic during the winter of 2016-17.</t>
  </si>
  <si>
    <t>Three Mile River</t>
  </si>
  <si>
    <t>Piles of sediment that have been placed on the beach are visible along boardwalk adjacent to the inlet at Three Mile River in April 2013.</t>
  </si>
  <si>
    <t>Hartung Place</t>
  </si>
  <si>
    <t>Private property owner placed sand on the beach after Hurricane Sandy</t>
  </si>
  <si>
    <t>2000, 2010, 2011</t>
  </si>
  <si>
    <t>USACE (2013c, 2015o)</t>
  </si>
  <si>
    <t>Sediment dredged from the federal Clinton Harbor navigation channel(s) is periodically placed on in a nearshore disposal site off Hammonasset State Beach and in an offshore disposal site. In 2000, 2010 and 2011, sediment was placed in the nearshore off Hammonasset State Beach.</t>
  </si>
  <si>
    <t>Hammonasset Beach Dredge Material Placement</t>
  </si>
  <si>
    <t>The USACE periodically places sediment dredged from nearby federal navigation channels, including Clinton Harbor, on the beach or in the nearshore of Hammonasset Beach SP.  In 2016 the USACE proposed to place sediment dredged from the Housatonic federal navigation project along this section of beach.  Previous placement areas were not available.  The USACE anticipated up to 300,000 cy of sediment would be placed along the beach, with construction anticipated for the winter of 2016-17.</t>
  </si>
  <si>
    <t>Hammonasset Beach State Park 1955 Sediment Placement</t>
  </si>
  <si>
    <t>Clinton Harbor 2013 Dredge Material Placement</t>
  </si>
  <si>
    <t>USACE (2015o)</t>
  </si>
  <si>
    <t xml:space="preserve">In early 2013 the USACE dredged Clinton Harbor inlet channels and placed 49,900 cy of sandy dredged material on the beach at Hammonasset State Beach.  Previous dredging episodes in 2000, 2010 and 2011 placed dredged material in the nearshore off Hammonasset State Beach.  Precise project location(s) were not available.  </t>
  </si>
  <si>
    <t>1973, 1994, 2014</t>
  </si>
  <si>
    <t xml:space="preserve">Federal project in 1957 along 6,470 ft of beach with 443,000 cy plus construction of 8 groins; 1973 state project with 25,000 cy; 1994 federal shore protection project along 4,500 ft with 675,000 cy.  In early 2014 the USACE placed sediment from an upland source along the federal beach fill project area along 4,500 ft of Prospect Beach. </t>
  </si>
  <si>
    <t>Walnut Beach Dune Restoration</t>
  </si>
  <si>
    <t>Wildemere Beach Restoration</t>
  </si>
  <si>
    <t>City of Milford (2016)</t>
  </si>
  <si>
    <t>The 2016 draft Coastal Resilience Plan for the City of Milford proposes to place sediment along Walnut Beach to restore a dune system.</t>
  </si>
  <si>
    <t>The 2016 draft Coastal Resilience Plan for the City of Milford proposes to place sediment along Wildemere Beach to restore the beach.</t>
  </si>
  <si>
    <t>Silver to Cedar Beaches Sediment Placement</t>
  </si>
  <si>
    <t xml:space="preserve">Federal project with authorized beach fill area of 15,600 ft of Silver, Meadows End, Myrtle, Walnut, Laurel and Cedar Beaches; in 1955 the Cedar Beach and western Laurel Beach segment received fill from Housatonic River dredging; in 1960 parts of Silver, Meadows End and Myrtle Beaches (4,500 ft) received fill.  The remaining areas (1.34 miles), as well as the construction of 11 authorized groins, have not been constructed but remain authorized.  </t>
  </si>
  <si>
    <t>Myrtle Beach</t>
  </si>
  <si>
    <t>A federal sediment placement project has an authorized beach fill area of 15,600 ft on Silver, Meadows End, Myrtle, Walnut, Laurel and Cedar Beaches; in 1955 the Cedar Beach and western Laurel Beach segment received fill from Housatonic River dredging; in 1960 parts of Silver, Meadows End and Myrtle Beaches (4,500 ft) received fill.  State sediment placement project along 2,800 ft with 70,000 cy in 1965.</t>
  </si>
  <si>
    <t>Silver Sands Beach</t>
  </si>
  <si>
    <t xml:space="preserve">Federal project with authorized beach fill area of 15,600 ft of Silver, Meadows End, Myrtle, Walnut, Laurel and Cedar Beaches; in 1955 the Cedar Beach and western Laurel Beach segment received fill from Housatonic River dredging; in 1960 parts of Silver, Meadows End and Myrtle Beaches (4,500 ft) received fill.   Precise project locations were not available. </t>
  </si>
  <si>
    <t>Cedar &amp; Laurel Beaches</t>
  </si>
  <si>
    <t>Short Beach Park Dredge Material Placement</t>
  </si>
  <si>
    <t>Seaside Park 1957-58 Sediment Placement</t>
  </si>
  <si>
    <t>state project with 11,000 cy along 300 ft of beach; NOTE that this beach is less than 500 ft long and not included in the sandy beach inventory</t>
  </si>
  <si>
    <t>1964, 1994, 2014</t>
  </si>
  <si>
    <t>Federal shore protection project along 4,300 ft of beach in 1959 with 256,000 cy (NOTE that the USACE New England District website describes this project as along 500 ft of the first pocket beach west of Merwin Point, disagreeing with the PSDS (2016) and Haddad and Pilkey (1998) data); 1964 state project with 63,000 cy; 1994 federal shore protection project along 1,500 ft with 225,000 cy.  In 1993-94 a federal shore protection project placed 225,000 cy of beach fill along 1,500 ft of Woodmont Beach between Bonsilene and Clinton Streets. Two groins at Bonsilene Street and Usher Road/Dunbar Street were reconstructed.   In 2014 the USACE placed sediment along the 1,500 ft Woodmont Beach  project area.</t>
  </si>
  <si>
    <t>Darien</t>
  </si>
  <si>
    <t>Tokeneke Club</t>
  </si>
  <si>
    <t>Sediment was placed on the beach as part of a beach club reconstruction project in 2015-2016. Piles of sediment and heavy equipment are visible in September 2015 and April 2016 imagery.</t>
  </si>
  <si>
    <t>West Beach, Cummings Park</t>
  </si>
  <si>
    <t xml:space="preserve">Sediment dredged from the federal Westcott Cove (Halloween Basin) inlet was placed on West Beach in 1972 (~6,000cy) and 1978 (~7,500 cy).  Precise project location was not available.  The Long Island Sound DMMP proposed future placement of suitable dredged material at beaches in Cummings Park both to the east and west of the inlet.  </t>
  </si>
  <si>
    <t>Calf Pasture Beach</t>
  </si>
  <si>
    <t>overlapping project areas are included in column E, with truncated project lengths listed in column F and used in the total</t>
  </si>
  <si>
    <t>Orient</t>
  </si>
  <si>
    <t>Southold</t>
  </si>
  <si>
    <t>Hashamomuck Cove Coastal Storm Risk Management Project</t>
  </si>
  <si>
    <t>Google Earth (2016) March 2012 imagery</t>
  </si>
  <si>
    <t>USACE (2016c)</t>
  </si>
  <si>
    <t>The USACE proposed in July 2016 to place fill along 8,500 ft of beach in Hashamomuck Cove; 160,000 cy of fill would be trucked from an upland source; an estimated 7,350 cy of sediment is anticipated to be used as renourishment every 5 years.  Initial construction is anticipated for 2019.</t>
  </si>
  <si>
    <t>54875 North Rd</t>
  </si>
  <si>
    <t>NYS DEC Permit ID 1-4738-04227/00003</t>
  </si>
  <si>
    <t>Private property owner repaired/replaced revetment/bulkhead in 2013, placed sediment as backfill, and planted vegetation</t>
  </si>
  <si>
    <t>1950, 1955, 1980, 1990, 2004, 2014</t>
  </si>
  <si>
    <t>Goldsmith Inlet Park Dredged Material Placement</t>
  </si>
  <si>
    <t>Bailie's Beach Dredged Material Placement</t>
  </si>
  <si>
    <t>Mattituck</t>
  </si>
  <si>
    <t>1977 Bergen Ave</t>
  </si>
  <si>
    <t>NYS DEC Permit ID 1-4738-04146/00004</t>
  </si>
  <si>
    <t>Private property owner "replace sand on bluff and shoreline" according to NYS DEC permit</t>
  </si>
  <si>
    <t>sediment dredged from Goldsmith Inlet is placed on Kenneys Road Beach (and county parkland beaches closer to the inlet), with 4,800 cy in 1987, 4,320 cy in 1989, and an unknown volume in 1990, and an estimated 5,000 cy annually since then except for 2002 and 2003; historically dredged by Suffolk County, since 1991 by Town of Southold</t>
  </si>
  <si>
    <t>Kenneys Road Beach Dredged Material Placement</t>
  </si>
  <si>
    <t>Suffolk County (1985), Morgan et al. (2005), USACE (2015o)</t>
  </si>
  <si>
    <t>Morgan et al. (2005) describe dredge material placement immediately east of the Mattituck Inlet at Bailie's Beach east jetty in 1946, 1950, 1955, 1980, 1990 and 2004.  1,596,400 cy were dredged from Matticuck Creek in 1955 but the disposal location is unknown; 1946 fill was 53,893 cy, 1950 fill was 22,913 cy, 1955 fill was 31,552 cy, 1980 fill was 24,137 cy, 1990 fill was 13,241 cy and 2004 fill was 13,785 cy.  In 2014 the USACE bypassed ~124,000 cy of sediment dredged from the inlet and excavated from the beach west of the inlet and placed the sediment east of the inlet to offset erosion (USACE 2015o).</t>
  </si>
  <si>
    <t>Riverhead</t>
  </si>
  <si>
    <t>Maidstone Landing, Sound Ave.</t>
  </si>
  <si>
    <t>NYS DEC Permit ID 1-4730-00561/00011</t>
  </si>
  <si>
    <t>The Maidstone Landing Home Owners Association Inc. placed sand on the beach after Hurricane Sandy</t>
  </si>
  <si>
    <t>Baiting Hollow</t>
  </si>
  <si>
    <t>40 Cliff Way</t>
  </si>
  <si>
    <t>42 Beach Way</t>
  </si>
  <si>
    <t>18 Park Place</t>
  </si>
  <si>
    <t>30 Park Place</t>
  </si>
  <si>
    <t>Wading River</t>
  </si>
  <si>
    <t>114 Cliff Rd E</t>
  </si>
  <si>
    <t>110 Cliff Rd E</t>
  </si>
  <si>
    <t>68 Cliff Rd</t>
  </si>
  <si>
    <t>12 Cliff Rd N</t>
  </si>
  <si>
    <t>NYS DEC Permit ID 1-4730-01249/00002</t>
  </si>
  <si>
    <t>Private property owner placed sand on the beach as part of a project to repair or replace a damaged bulkhead</t>
  </si>
  <si>
    <t>NYS DEC Permit ID 1-4730-01642/00001</t>
  </si>
  <si>
    <t>Private property owner placed sand on the beach as part of a project to repair or replace a groin</t>
  </si>
  <si>
    <t>NYS DEC Permit ID 1-4730-00517/00012</t>
  </si>
  <si>
    <t>NYS DEC Permit ID 1-4730-00314/00011</t>
  </si>
  <si>
    <t>Private property owner repaired/replaced bulkhead in 2014, placed sediment as backfill</t>
  </si>
  <si>
    <t>NYS DEC Permit ID 1-4722-06223/00003</t>
  </si>
  <si>
    <t>Private property owner repaired/replaced bulkhead in 2013, placed sediment as backfill</t>
  </si>
  <si>
    <t>NYS DEC Permit ID 1-4730-01532/00002</t>
  </si>
  <si>
    <t>NYS DEC Permit ID 1-4730-01669/00003</t>
  </si>
  <si>
    <t>NYS DEC Permit ID 1-4730-01244/00002 &amp; 1-4730-01244/00009</t>
  </si>
  <si>
    <t>Private property owner repaired/replaced bulkhead in 2013-14, placed sediment as backfill</t>
  </si>
  <si>
    <t>periodic to annual</t>
  </si>
  <si>
    <t>Laurel Hollow</t>
  </si>
  <si>
    <t>Port Washington</t>
  </si>
  <si>
    <t>O'Connor (1973), USACE (2013h)</t>
  </si>
  <si>
    <t>dredge material from Wading River Creek; Suffolk County renewed its USACE permit in 2014 for 10 years of annual maintenance dredging with 8,000 to 10,000 cy of sediment placed along the beach to the east of the inlet</t>
  </si>
  <si>
    <t>12 Cherry Ln</t>
  </si>
  <si>
    <t>12 Oak St</t>
  </si>
  <si>
    <t>NYS DEC Permit ID 1-4730-00543/00005</t>
  </si>
  <si>
    <t>NYS DEC Permit ID 1-4730-01641/00003</t>
  </si>
  <si>
    <t>Wading River Inlet Dredged Material Placement</t>
  </si>
  <si>
    <t>Shoreham</t>
  </si>
  <si>
    <t>11 Thompson St</t>
  </si>
  <si>
    <t>Rocky Point</t>
  </si>
  <si>
    <t>63 Culross Dr</t>
  </si>
  <si>
    <t>Sound Beach</t>
  </si>
  <si>
    <t>108 Shore Dr</t>
  </si>
  <si>
    <t>27 Waterview Dr</t>
  </si>
  <si>
    <t>Miller Place</t>
  </si>
  <si>
    <t>29 Seacliff Ln</t>
  </si>
  <si>
    <t>Belle Terre</t>
  </si>
  <si>
    <t>157 Cliff Rd</t>
  </si>
  <si>
    <t>NYS DEC Permit ID 1-4722-02317/00006</t>
  </si>
  <si>
    <t>Private property owner placed sand on the beach as part of a project to repair or replace a damaged revetment</t>
  </si>
  <si>
    <t>NYS DEC Permit ID 1-4722-04405/00011</t>
  </si>
  <si>
    <t>Private property owner placed sand on the beach and planted vegetation as part of a project to repair or replace a damaged bulkhead</t>
  </si>
  <si>
    <t>NYS DEC Permit ID 1-4722-00962/00007</t>
  </si>
  <si>
    <t>NYS DEC Permit ID 1-4722-03497/00004</t>
  </si>
  <si>
    <t>Private property owner placed sand on the beach and planted vegetation after Hurricane Sandy</t>
  </si>
  <si>
    <t>NYS DEC Permit ID 1-4722-05312/00005</t>
  </si>
  <si>
    <t>Private property owner placed 400 cy of sediment as backfill behind revetment at toe of bluff</t>
  </si>
  <si>
    <t>NYS DEC Permit ID 1-4722-01647/00012</t>
  </si>
  <si>
    <t>Private property owner terraced the bluff with 4 rows of 2.5 ton armor stone and placed sand and gravel as backfill, then planted vegetation</t>
  </si>
  <si>
    <t>Mt. Sinai Harbor Dredged Material Placement</t>
  </si>
  <si>
    <t>Suffolk County and the Town of Brookhaven dredged Mt. Sinai Harbor inlet in 1994 and 1995 and placed 30,000 and then 85,995 cy of sediment on Cedar Beach. Precise project location was not available. Suffolk County also placed 54,000 cy of dredged material on adjacent beaches in 1976.</t>
  </si>
  <si>
    <t>Suffolk County (1985), Town of Brookhaven (2006)</t>
  </si>
  <si>
    <t xml:space="preserve">Suffolk County and the Town of Brookhaven dredged Mt. Sinai Harbor inlet in 2006 and placed 45,000 to 60,300 cy of sediment on Port Jefferson Village Beach (East Beach) as part of a beach and dune restoration project.  Precise project location was not available. </t>
  </si>
  <si>
    <t>Town of Brookhaven (2006), USACE (2015o)</t>
  </si>
  <si>
    <t>Port Jefferson Village Beach Restoration Project</t>
  </si>
  <si>
    <t>NYS DEC Permit ID 1-4722-01698/00007</t>
  </si>
  <si>
    <t>Old Field</t>
  </si>
  <si>
    <t>61 Crane Neck Rd</t>
  </si>
  <si>
    <t>Stony Brook</t>
  </si>
  <si>
    <t>Stony Brook Harbor Dredged Material Placement</t>
  </si>
  <si>
    <t>1965, 1980, 2014</t>
  </si>
  <si>
    <t>Suffolk County (1985), USACE (2015o)</t>
  </si>
  <si>
    <t>Suffolk County dredged the inlet at Stony Brook Harbor in 2013 and placed the material on an adjacent beach; precise placement location and length were not available.  Previously the County dredged 187,500 cy in 1958, 207,100 cy in 1965 and 16,000 cy in 1980 and placed the material on beaches.</t>
  </si>
  <si>
    <t>Nissequogue</t>
  </si>
  <si>
    <t>2 Bluff Rd</t>
  </si>
  <si>
    <t>3 Bluff Rd</t>
  </si>
  <si>
    <t>538 Long Beach Rd</t>
  </si>
  <si>
    <t>NYS DEC Permit ID 1-4734-00711/00014</t>
  </si>
  <si>
    <t>Applicant proposes to construct a 167' armor stone wall with 2.5 ton stones stacked on filter fabric at the toe of the bluff along a currently undisturbed shoreline. The wall will be backfilled with 200 cubic yards of clean fill from an upland source. All disturbed areas will be planted with native, salt tolerant vegetation.  Permit decision due by 9/27/2016 but not listed as of 10/17/2016.</t>
  </si>
  <si>
    <t>NYS DEC Permit ID 1-4734-01029/00012</t>
  </si>
  <si>
    <t>The applicant proposes to restore and stabilize the bluff by installing 175 linear feet of 2.5 ton stone (2.5 ton/linear foot) along the toe of the bluff, placing 210 cy of compatible sand, and installing temporary wood terracing to establish plantings of American beach grass on unvegetated areas; permit decision due by 9/26/2016 but not listed as of 10/17/2016</t>
  </si>
  <si>
    <t>NYS DEC Permit ID 1-4734-01913/00006</t>
  </si>
  <si>
    <t>The applicant proposes to restore and stabilize the bluff by installing 259 feet of 2.5 ton stone (1.94 ton/linear foot) along the toe of the bluff, placing gravel and sand landward of the stone as backfill and sand seaward of the stone, and installation of temporary wood terracing to establish plantings of American beach grass on unvegetated areas of the bluff.  Permit decision due by 9/27/2016 but not listed as of 10/17/2016.</t>
  </si>
  <si>
    <t>11 &amp; 15 Reinhart Ct</t>
  </si>
  <si>
    <t>NYS DEC Permit ID 1-4734-02324/00003 &amp; 1-4734-00607/00007</t>
  </si>
  <si>
    <t>Private property owners placed sediment at the base of the escarpment after Hurricane Sandy</t>
  </si>
  <si>
    <t>23 Triple Oak Ln</t>
  </si>
  <si>
    <t>NYS DEC Permit ID 1-4734-02079/00003 &amp; 1-4734-02079/00008</t>
  </si>
  <si>
    <t>Suffolk County (1985), USACE (2016i)</t>
  </si>
  <si>
    <t>Suffolk County and the Town of Smithtown periodically dredge Nissequogue River inlet and place dredged material on Short Beach Town Park and Sunken Meadows SP beaches both to the east and west of the inlet complex.  Approximately 1/3 of an estimated 90,000-93,000 cy is placed on Short Beach.</t>
  </si>
  <si>
    <t>1966, 1980, 2013-14</t>
  </si>
  <si>
    <t>Suffolk County and the Town of Smithtown periodically dredge Nissequogue River inlet and place dredged material on Short Beach Town Park and Sunken Meadows SP beaches both to the east and west of the inlet complex.  Approximately 2/3 of an estimated 90,000-93,000 cy is placed on Sunken Meadow SP.  Previous dredging episodes placed 765,900 cy in 1961, 140,700 cy in 1966, and 56,000 cy in 1980 on nearby beaches.</t>
  </si>
  <si>
    <t>Nissequogue - Short Beach Dredged Material Placement</t>
  </si>
  <si>
    <t>Nissequogue - Sunken Meadows SP Dredged Material Placement</t>
  </si>
  <si>
    <t>Fort Salonga</t>
  </si>
  <si>
    <t>Callahan's Beach</t>
  </si>
  <si>
    <t>8 Beach Hill Dr</t>
  </si>
  <si>
    <t>2 Marions Ln</t>
  </si>
  <si>
    <t>44 Makamah Beach Rd</t>
  </si>
  <si>
    <t>148 Waterview St. W</t>
  </si>
  <si>
    <t>150 Waterview St. W</t>
  </si>
  <si>
    <t>NYS DEC Permit ID 1-4734-00448/00020</t>
  </si>
  <si>
    <t>The Town of Smithtown placed sand on Callahan's Beach after Hurricane Sandy in 2014</t>
  </si>
  <si>
    <t>NYS DEC Permit ID 1-4734-02348/00003</t>
  </si>
  <si>
    <t>Private property owner placed sediment as backfill for a bulkhead after Hurricane Sandy</t>
  </si>
  <si>
    <t>NYS DEC Permit ID 1-4734-02285/00005</t>
  </si>
  <si>
    <t>NYS DEC Permit ID 1-4726-00838/00007</t>
  </si>
  <si>
    <t>NYS DEC Permit ID 1-4726-02363/00003</t>
  </si>
  <si>
    <t>Private property owner placed sand on the beach as part of a project to repair or replace a damaged seawall</t>
  </si>
  <si>
    <t>NYS DEC Permit ID 1-4726-00668/00009</t>
  </si>
  <si>
    <t>Private property owner placed sand on the beach as part of a project to repair or replace a damaged groin and bulkhead</t>
  </si>
  <si>
    <t>176 Waterview St. W</t>
  </si>
  <si>
    <t>Asharoken</t>
  </si>
  <si>
    <t>236 Asharoken Ave</t>
  </si>
  <si>
    <t>Asharoken Dune, near Duck Island Lane to near Bevin Rd</t>
  </si>
  <si>
    <t>North Shore of Long Island, Asharoken, Coastal Storm Risk Management Project</t>
  </si>
  <si>
    <t>NYS DEC Permit ID 1-4726-02351/00003</t>
  </si>
  <si>
    <t>NYS DEC Permit ID 1-4726-00340/00011</t>
  </si>
  <si>
    <t>USACE (2015h)</t>
  </si>
  <si>
    <t>USACE (2015h) states that the 5,300 ft of beach (Reach 1B of the proposed federal fill project) received trucked in sediment to repair the dunes damaged by Hurricane Sandy; most of the dunes in this area are artificial, particularly where no residences are located seaward of the road.</t>
  </si>
  <si>
    <t>USACE (2015h), NYS DEC Permit ID 1-4726-00809/00017</t>
  </si>
  <si>
    <t>Overwash sand was removed from Belvin Rd. and placed on the beach in or around the seawall; the USACE constructed the 900 ft long seawall in 1997, backfilled the seawall with sand, constructed an artificial dune, and planted dune grasses</t>
  </si>
  <si>
    <t>Northport Power Plant Dredged Material Placement</t>
  </si>
  <si>
    <t>Asharoken Beach 2013 Sediment Placement</t>
  </si>
  <si>
    <t>In November 2013 45,000 cy of sediment were placed along Asharoken Beach as sediment bypassing from the power plant at Northport Basin.  Previous placement areas were located slightly farther to the west (USACE 2015h).  Only 390 ft of the placement area did not overlap other project areas.</t>
  </si>
  <si>
    <t>In November 2015 the USACE proposed to construct a shore protection project along 12,400 ft (+ a 500' taper) of Asharoken beaches, with some reaches receiving beach fill only and others constructing beach and dune fill.  One new groin will be constructed and 2 groins rehabilitated as part of the project at its northwest end near Bevin Rd. as well.  Initial fill is from an offshore source.  Periodic nourishment is expected on a 5 year cycle, with 80,000 cy of sediment (including 15,000 cy annually bypassed from the power plant to the southeast) from an upland source placed on the beach.  Note that the project length measures 13,118 ft in 2015 Google Earth imagery, from the jetty to 500 ft northwest of the new groin as described in the Feasibility Report.  Only 0.25 miles of the proposed project area does not overlap other project areas.</t>
  </si>
  <si>
    <t>Asharoken Seawall Sediment Placement</t>
  </si>
  <si>
    <t>Eaton's Neck Dredged Material Placement</t>
  </si>
  <si>
    <t>Eatons Neck</t>
  </si>
  <si>
    <t>The US Coast Guard dredges the inlet to Eaton's Neck Harbor annually since 2011 and places 4,675 to 8,770 cy of sediment on an adjacent beach; precise placement location and length were not available</t>
  </si>
  <si>
    <t>Huntington Bay</t>
  </si>
  <si>
    <t>317 Vineyard Rd</t>
  </si>
  <si>
    <t>30 Baycrest Dr</t>
  </si>
  <si>
    <t>Lloyd Harbor</t>
  </si>
  <si>
    <t>31 Seacrest Dr</t>
  </si>
  <si>
    <t>NYS DEC Permit ID 1-4726-00373/00013</t>
  </si>
  <si>
    <t>NYS DEC Permit ID 1-4726-02136/00007</t>
  </si>
  <si>
    <t>Overwash sand was removed from developed areas and placed on the beach to regrade the dune</t>
  </si>
  <si>
    <t>NYS DEC Permit ID 1-4726-01605/00005</t>
  </si>
  <si>
    <t>NYS DEC Permit ID 1-4726-01985/00003</t>
  </si>
  <si>
    <t>The Fiddlers Green Association Inc. restored the dune at the north end of Fiddlers Green Drive after Hurricane Sandy</t>
  </si>
  <si>
    <t>Fiddlers Green Rd</t>
  </si>
  <si>
    <t>Laurel Hollow Road</t>
  </si>
  <si>
    <t>Soundfront property owned by Louis C. Tiffany historically was modified by Tiffany with concrete seawalls, breakwaters and beach fill in the early 20th century. Hornblower (1951) describes the destruction of the concrete hard stabilization structures by local protestors with dynamite during a controvery over public riparian rights and access to the beach. Eventually litigation resulted in a public right-of-way to the Sound at the end of Laurel Hollow Road, with the access given to the Township of Oyster Bay.</t>
  </si>
  <si>
    <t>Bayville</t>
  </si>
  <si>
    <t>Nassau</t>
  </si>
  <si>
    <t>NYS DEC Permit ID 1-2824-03016/00003</t>
  </si>
  <si>
    <t>Pine Lane Association Inc. placed sand on beach between 3rd and 5th Streets after Hurricane Sandy</t>
  </si>
  <si>
    <t>Pine Lane</t>
  </si>
  <si>
    <t>NYS DEC Permit ID 1-2824-00402/00036, Google Earth (2016) March 2012 imagery</t>
  </si>
  <si>
    <t xml:space="preserve">Google Earth imagery from March 6, 2012, shows piles of sand being dumped in front of club house type facilities next to groin, apparently to build a dune.  In 2013 the Club placed sand on the beach as part of a project to repair or replace a damaged revetment </t>
  </si>
  <si>
    <t>The Creek Club</t>
  </si>
  <si>
    <t>Lattingtown</t>
  </si>
  <si>
    <t>NYS DEC Permit ID 1-2824-00795/00015</t>
  </si>
  <si>
    <t>The Piping Rock Club</t>
  </si>
  <si>
    <t>North Hempstead Beach Park</t>
  </si>
  <si>
    <t>208 Creek Rd</t>
  </si>
  <si>
    <t>NYS DEC Permit ID 1-4730-01652/00002</t>
  </si>
  <si>
    <t>Private property owner placed sand on the beach and dune after Hurricane Sandy</t>
  </si>
  <si>
    <t>dredged material from Lake Montauk</t>
  </si>
  <si>
    <t>dredged material from Lake Montauk; 40,000 cy in 1949; 25,933 cy in 1976; 21,876 cy in 1984; 5,800 cy in 1987; 15,307 cy in 1991; 46,175 cy in 1995;  in 2014 a USACE feasability study was underway to modify the inlet structures and dredging and address erosion problem west of the inlet with structures and/or fill; also reportedly a lawsuit over the erosion issue, suing the USACE and Town of East Hampton</t>
  </si>
  <si>
    <t xml:space="preserve">dredged material from Napeague Harbor; Town of East Hampton (1999) does not differentiate how much dredged material has been placed on Hicks Island versus Goff Point and when </t>
  </si>
  <si>
    <t>dredged material from Napeague Harbor; 324,000 cy in 1967; 35,000 cy in 1987; 26,000 cy in 1989</t>
  </si>
  <si>
    <t>dredged material from Three Mile Harbor inlet; 82,000 cy in 1958; 35,000 cy in 1961; 106,000 cy in 1965; 83,000 cy in 1974; 90,000 cy in 1975; 21,000 cy in 1996</t>
  </si>
  <si>
    <t>dredged material from Three Mile Harbor inlet</t>
  </si>
  <si>
    <t>Town of East Hampton (1999) states that some dredged material has been placed west of the inlet and proposes future spoil be placed there rather than to the east to address erosion problems. Precise project locations, placement dates and fill volumes were not available.</t>
  </si>
  <si>
    <t>dredged material from the South Ferry Terminal is alternately placed to the east (~730) and west (~2,460') of Ganet Creek inlet</t>
  </si>
  <si>
    <t>dredged material from Noyack Creek placed on nearby beaches, with 134,900 cy in 1969</t>
  </si>
  <si>
    <t>dredged material from Wooleys Pond placed on nearby beaches, with dredged volumes ranging from 1,000 to 15,200 cy except for the original 1964 episode which placed 210,800 cy</t>
  </si>
  <si>
    <t>dredged material from North Sea Harbor placed on nearby beaches, with dredged volumes ranging from 2,900 to 47,500 cy except for the original 1961 episode which placed 108,100 cy</t>
  </si>
  <si>
    <t>dredged material from Sebonac Creek placed on nearby beaches, with 110,200 cy in 1958, 58,700 cy in 1967, 51,500 cy in 1968, and 8,900 cy in 1981</t>
  </si>
  <si>
    <t>dredged material from Cold Spring Pond placed on nearby beaches, with 124,800 cy in 1964, 29,800 cy in 1967, 23,900 cy in 1971, 28,300 cy in 1975, and 48,000 cy in 1982</t>
  </si>
  <si>
    <t>dredged material from Miamogue Lagoon placed on nearby beaches</t>
  </si>
  <si>
    <t>dredged material from Hawks Creek placed on nearby beaches</t>
  </si>
  <si>
    <t>dredged material from Brushes Creek placed on beaches on both sides of inlet, with 86,400 cy in 1966 then 1,500 to 7,500 cy in subsequent episodes</t>
  </si>
  <si>
    <t>dredged material from James Creek historically placed on upland site to the east but then placed on beaches on both sides of inlet, with 272,500 cy in 1964-65, 3,000 cy in 1979, 6,700 cy in 1980, and 9,400 cy in 1983</t>
  </si>
  <si>
    <t>dredged material from Deep Hole Creek placed on beaches on both sides of inlet, with 243,500 cy in 1964-65 and then 4,000 to 14,000 cy in subsequent episodes</t>
  </si>
  <si>
    <t>dredged material from Halls Creek placed on beach to the east, with 17,400 cy in 1979, 4,200 cy in 1980 and 8,300 cy in 1983</t>
  </si>
  <si>
    <t>12,000 cy of dredged material from Schoolhouse Creek used for beach nourishment nearby</t>
  </si>
  <si>
    <t>dredged material from Wickham Creek placed on beach to the west, with 48,300 cy in 1966 and then 1,400 to 10,000 cy in subsequent episodes</t>
  </si>
  <si>
    <t>Town of Southold (2011, p. II-J, Reach 8 - 30) states that the Meadow Beach spit "has been enhanced by placement of dredged materials" but does not specify dates or specific locations; the dredged material presumably came from past dredging of the small boat channel to the east.</t>
  </si>
  <si>
    <t>historically dredged material from Mud Creek placed on 2 upland sites, then switched to beach to the west of the inlet; 434,400 cy dredged in 1966, 11,000 cy in 1976 and 10,200 cy in 1982; USACE Regulatory Permit NAN-2008-00984-EHA issued to Suffolk County for 10 year maintenance dredging with beach placement of dredged material on Nov. 14, 2008</t>
  </si>
  <si>
    <t>dredged material from Little Creek placed on beaches on both sides of inlet, with volumes ranging from 2,300 to 6,000 cy except for 51,000 cy in 1967 and 40,000 cy in 1976</t>
  </si>
  <si>
    <t>dredged material from Richmond Creek placed on beaches on both sides of inlet, with 123,000 cy in 1959, 82,800 cy in 1964, 25,100 cy in 1967, 5,500 cy in 1972 and 15,300 cy in 1983</t>
  </si>
  <si>
    <t>dredged material from Corey Creek historically placed on upland site but then placed on beaches nearby, with 345,600 cy in 1963-64, 23,900 cy in 1967, 7,600 cy in 1972, 10,200 in 1981, 800 cy in 1983 and 3,500 cy in 1984</t>
  </si>
  <si>
    <t>dredged material from Cedar Beach Creek is placed on the beach to the west, with 12,400 cy in 1979 then 1,700 to 9,700 cy in subsequent episodes</t>
  </si>
  <si>
    <t>dredged material from Gull Pond placed on beach between Gull Pond and Sterling Basin, with 177,200 cy in 1959, 28,500 cy in 1960, 29,000 cy in 1970, 23,200 cy in 1979, and 1,000 cy in 1983</t>
  </si>
  <si>
    <t>dredged material from West Neck Harbor placed on nearby beaches, with 8,000 cy in 1955, 313,500 cy in 1960, 19,400 cy in 1965, 18,800 cy in 1976, and 17,400 cy in 1983</t>
  </si>
  <si>
    <t>dredged material from Smith Cove placed on nearby beaches with 35,900 cy in 1966</t>
  </si>
  <si>
    <t>dredged material from Crab Creek placed on nearby beaches, with 10,000 cy in 1976 and 4,300 cy in 1983</t>
  </si>
  <si>
    <t>dredged material from County dredging of South Ferry Terminal is periodically placed at Wades Beach and Shell Beach on Shelter Island</t>
  </si>
  <si>
    <t>5,000 to 9,000 cy of dredged material from Dickerson Creek is periodically placed along 1,700 ft of beach starting 500 ft east of creek mouth; also receives dredged material from the South Ferry Terminal; most recent USACE permit renewal NAN-2014-00871-EBO</t>
  </si>
  <si>
    <t>Lake Montauk Harbor Coastal Storm Risk Management Project</t>
  </si>
  <si>
    <t>USACE (2016g)</t>
  </si>
  <si>
    <t>In 2016 the USACE proposed to construct a storm risk management project west of the inlet to Lake Montauk Harbor. The proposed project would place 100,000 cy of sediment dredged from the inlet channel and mined from adjacent areas on the beach west of the inlet every 10 years. Four geotube groins would be constructed and 20,000 cy of sediment would be backpassed every 2 years from the western end of the project area to the eastern end of the project area. If the geotube groins perform satisfactorily, they would be replaced in 10 years with permanent, hard armor structures.</t>
  </si>
  <si>
    <t>Lake Montauk (East) Dredged Material Placement</t>
  </si>
  <si>
    <t>Lake Montauk (West) Dredged Material Placement</t>
  </si>
  <si>
    <t>180 Soundview Dr</t>
  </si>
  <si>
    <t>132 Navy Rd</t>
  </si>
  <si>
    <t>Napeague</t>
  </si>
  <si>
    <t>375 Cranberry Hole Rd</t>
  </si>
  <si>
    <t>Amagansett</t>
  </si>
  <si>
    <t>Springs</t>
  </si>
  <si>
    <t>209 Kings Point Rd</t>
  </si>
  <si>
    <t>273 Kings Point Rd</t>
  </si>
  <si>
    <t>287 Kings Point Rd</t>
  </si>
  <si>
    <t>307 Kings Point Rd</t>
  </si>
  <si>
    <t>311 Kings Point Rd</t>
  </si>
  <si>
    <t>NYS DEC Permit ID 1-4724-01944/00003 &amp; 1-4724-01944/00006</t>
  </si>
  <si>
    <t xml:space="preserve">Private property owner constructed bulkhead in 2014, placed sediment as backfill
</t>
  </si>
  <si>
    <t>NYS DEC Permit ID 1-4724-01793/00006</t>
  </si>
  <si>
    <t>NYS DEC Permit ID 1-4724-0139/00004</t>
  </si>
  <si>
    <t>Private property owner installed geocube revetment, covered the revetment with 1,000 cy of fill, and planted vegetation</t>
  </si>
  <si>
    <t>Suffolk County periodically dredges Napeague Harbor Inlet, which may also be called West Napeague Inlet, and places the dredged material along the beach south of the inlet</t>
  </si>
  <si>
    <t>Google Earth (2016) May 23, 2015 imagery</t>
  </si>
  <si>
    <t>The inlet at Devon Yacht Club is periodically dredged and the dredged sediment placed on adjacent beaches. In May 2015 active sediment placement is visible in Google Earth imagery west of the western jetty.  Precise placement location data were not available previously.</t>
  </si>
  <si>
    <t>NYS DEC Permit ID 1-4724-01074/00007</t>
  </si>
  <si>
    <t>Private property owner constructed retaining wall in 2013-14, placed sediment as backfill and planted vegetation</t>
  </si>
  <si>
    <t>NYS DEC Permit ID 1-4724-01478/00005</t>
  </si>
  <si>
    <t>NYS DEC Permit ID 1-4724-01725/00007</t>
  </si>
  <si>
    <t>NYS DEC Permit ID 1-4724-00255/00006</t>
  </si>
  <si>
    <t>Private property owner constructed revetment in 2013, placed sediment as backfill and planted vegetation</t>
  </si>
  <si>
    <t>NYS DEC Permit ID 1-4724-00526/00007</t>
  </si>
  <si>
    <t>Goff Point Dredged Material Placement</t>
  </si>
  <si>
    <t>Hicks Island Dredged Material Placement</t>
  </si>
  <si>
    <t>Napeague Harbor Dredged Material Placement</t>
  </si>
  <si>
    <t>1987, 1989, 2014</t>
  </si>
  <si>
    <t>dredged material from unnamed inlet at Devon Yacht Club, placed on beach to south; Town of Easth Hampton (1999) recommended placing the dredged material on the beach to the north instead of transporting it to an upland offsite location</t>
  </si>
  <si>
    <t>Devon Yacht Club (East) Dredged Material Placement</t>
  </si>
  <si>
    <t>Devon Yacht Club (West) Dredged Material Placement</t>
  </si>
  <si>
    <t>23 Waters Edge</t>
  </si>
  <si>
    <t>NYS DEC Permit ID 1-4724-02005/00002</t>
  </si>
  <si>
    <t>Private property owner restored the bluff face in 2015 with 1,000 cy of sediment placed from an upland source at the base of the bluff.  American beach grass was then planted on the placed sediment</t>
  </si>
  <si>
    <t>62 Louse Point Rd</t>
  </si>
  <si>
    <t>NYS DEC Permit ID 1-4724-01499/00005</t>
  </si>
  <si>
    <t>Suffolk County (1985), Town of East Hampton (1999), USACE (2014n), NYS DEC Permit ID 1-4724-01952/00004</t>
  </si>
  <si>
    <t>Louse Point Dredged Material Placement</t>
  </si>
  <si>
    <t>In 1959 the inlet to Accabonac Harbor was relocated to the north and 205,000 cy of sediment was used to fill the old inlet on the Louse Point spit.  Dredged material from Accabonac Harbor is periodically placed along 2,000 ft of Louse Point beach and 1,200 ft of Gerard Point beach.  Dredged material volumes range from 11,000 to 74,000 cy.</t>
  </si>
  <si>
    <t>Gerard Point Dredged Material Placement</t>
  </si>
  <si>
    <t>Dredged material from Accabonac Harbor; USACE (2012c) states that 2,000 ft of beach receive beach fill</t>
  </si>
  <si>
    <t>113 - 121 Gerard Dr</t>
  </si>
  <si>
    <t>18 - 24 Driftwood Ln</t>
  </si>
  <si>
    <t>NYS DEC Permit ID 1-4724-00222/00005, 1-4724-00223/00005 &amp; 1-4724-01563/00004</t>
  </si>
  <si>
    <t>3 adjacent private property owners repaired/replaced revetments in 2013-14, placed sediment as backfill, planted vegetation</t>
  </si>
  <si>
    <t>NYS DEC Permit ID 1-4724-01552/00005, 1-4724-01942/00003 &amp; 1-4724-01898/00002</t>
  </si>
  <si>
    <t>3 adjacent private property owners repaired/replaced bulkhead in 2013-14, placed sediment as backfill, planted vegetation</t>
  </si>
  <si>
    <t>Lionhead Beach Dredged Material Placement</t>
  </si>
  <si>
    <t>Dredged material from Hog Creek Inlet and basin is periodically placed on Lionhead Beach to the southwest.  Precise project location(s), date(s) and volume(s) were not available.</t>
  </si>
  <si>
    <t>108 Runnymede Dr</t>
  </si>
  <si>
    <t>Northwest Harbor</t>
  </si>
  <si>
    <t>43 - 37 Milina Dr</t>
  </si>
  <si>
    <t>22 - 26 Hedges Banks Dr</t>
  </si>
  <si>
    <t>28 - 32 Hedges Banks Dr</t>
  </si>
  <si>
    <t>44 Hedges Banks Dr</t>
  </si>
  <si>
    <t>NYS DEC Permit ID 1-4724-01970/00004</t>
  </si>
  <si>
    <t>Private property owner placed sediment on the bluff and planted vegetation in 2015-16</t>
  </si>
  <si>
    <t>NYS DEC Permit ID 1-4724-00248/00005 &amp; 1-4724-01973/00003</t>
  </si>
  <si>
    <t>3 adjacent property owners placed sand at the base of the bluff in 2013 and planted vegetation</t>
  </si>
  <si>
    <t>NYS DEC Permit ID 1-4724-01936/00003, 1-4724-00367/00003 &amp; 1-4724-01904/00001</t>
  </si>
  <si>
    <t>NYS DEC Permit ID 1-4724-01910/00004 &amp; 1-4724-01905/00001</t>
  </si>
  <si>
    <t>2 adjacent property owners placed sand at the base of the bluff in 2013 and planted vegetation</t>
  </si>
  <si>
    <t>NYS DEC Permit ID 1-4724-00667/00011</t>
  </si>
  <si>
    <t>Private property owner placed sediment at toe of the bluff and planted vegetation</t>
  </si>
  <si>
    <t>Maidstone Park Dredged Material Placement</t>
  </si>
  <si>
    <t>Sammy's Beach Dredged Material Placement</t>
  </si>
  <si>
    <t>48 - 60 Hedges Banks Dr</t>
  </si>
  <si>
    <t>Sag Harbor</t>
  </si>
  <si>
    <t>8 Sound View Dr</t>
  </si>
  <si>
    <t>North Haven</t>
  </si>
  <si>
    <t>54 Ferry Rd</t>
  </si>
  <si>
    <t>3 Mashomuck Dr</t>
  </si>
  <si>
    <t>2013-15</t>
  </si>
  <si>
    <t>NYS DEC Permit ID 1-4724-01933/00003, 1-4724-01934/00003, 1-4724-01935/00003, 1-4724-00723/00007, 1-4724-00843/00013 &amp; 1-4724-01402/00005</t>
  </si>
  <si>
    <t>7 adjacent private property owners placed sediment at toe of the bluff and planted vegetation</t>
  </si>
  <si>
    <t>NYS DEC Permit ID 1-4736-01978/00003</t>
  </si>
  <si>
    <t>NYS DEC Permit ID 104736-07946/00003</t>
  </si>
  <si>
    <t>Private property owner repaired/replaced revetment in 2013, placed sediment as backfill</t>
  </si>
  <si>
    <t>NYS DEC Permit ID 1-4736-07985/00003</t>
  </si>
  <si>
    <t>Cedar Point County Park Dredged Material Placement</t>
  </si>
  <si>
    <t>Northwest Creek - Harbor Spit Dredged Material Placement</t>
  </si>
  <si>
    <t>Northwest Creek (West) Dredged Material Placement</t>
  </si>
  <si>
    <t>52-56 Actors Colony Rd</t>
  </si>
  <si>
    <t>NYS DEC Permit ID 1-4736-08002/00003</t>
  </si>
  <si>
    <t>Ganet Creek (East) Dredged Material Placement</t>
  </si>
  <si>
    <t>Ganet Creek (West) Dredged Material Placement</t>
  </si>
  <si>
    <t>Noyack</t>
  </si>
  <si>
    <t>38 Bay Ave</t>
  </si>
  <si>
    <t>NYS DEC Permit ID 1-4736-08108/00003</t>
  </si>
  <si>
    <t>1971, periodic</t>
  </si>
  <si>
    <t>Suffolk County (1985), USACE (2015l)</t>
  </si>
  <si>
    <t>Suffolk County dredges Mill Creek every 2 to 3 years and places the sediment along adjacent beaches to the northeast and west; maintenance dredging permit from USACE renewed in 2015.  180,700 cy was placed in 1960 and 27,100 cy in 1971.</t>
  </si>
  <si>
    <t>Mill Creek (Northeast) Dredged Material Placement</t>
  </si>
  <si>
    <t>Mill Creek (West) Dredged Material Placement</t>
  </si>
  <si>
    <t>67 Noyack Bay Ave</t>
  </si>
  <si>
    <t>NYS DEC Permit ID 1-4736-06960/000004</t>
  </si>
  <si>
    <t>USACE (2016f), Suffolk County (1985)</t>
  </si>
  <si>
    <t>Property Owners Association of Noyac Harbor, Inc., proposed to perform 10 years of maintenance dredging of Noyac Creek and place the dredged sediment along 1,300 ft of beach at Clam Island.  Suffolk County dredged the inlet in 1969 and placed 134,900 cy of sediment on adjacent beaches, for which precise project location(s) were not available.</t>
  </si>
  <si>
    <t>Clam Island Dredged Material Placement</t>
  </si>
  <si>
    <t>Noyack Creek Dredged Material Placement</t>
  </si>
  <si>
    <t>North Sea</t>
  </si>
  <si>
    <t>1755 &amp; 1763 Noyack Rd</t>
  </si>
  <si>
    <t>77 E Shore Rd</t>
  </si>
  <si>
    <t>NYS DEC Permit ID 1-4736-06706/00004 &amp; 1-4736-08035/00003</t>
  </si>
  <si>
    <t>2 adjacent private property owner repaired/replaced bulkhead in 2014, placed sediment as backfill</t>
  </si>
  <si>
    <t>NYS DEC Permit ID 1-4736-08054/00003</t>
  </si>
  <si>
    <t>Fresh Pond Dredged Material Placement</t>
  </si>
  <si>
    <t>1980, 1981, 1982, 1983, 1984, (periodic)</t>
  </si>
  <si>
    <t>Suffolk County (1985), USACE (2016j)</t>
  </si>
  <si>
    <t>Suffolk County periodically dredges Fresh Pond Inlet and places ~5,000 cy of dredged material on the beach to the south, with 8 or 9 dredging episodes anticipated in the most recent 10 year maintenance permit period (issued 2016).  Precise project location was not previously known.</t>
  </si>
  <si>
    <t>Wooley Pond Dredged Material Placement</t>
  </si>
  <si>
    <t>North Sea Harbor Dredged Material Placement</t>
  </si>
  <si>
    <t>Sebonac Creek Dredged Material Placement</t>
  </si>
  <si>
    <t>Tuckahoe</t>
  </si>
  <si>
    <t>Cold Spring Pond Dredged Material Placement</t>
  </si>
  <si>
    <t>Hampton Bays</t>
  </si>
  <si>
    <t>2 Peconic Crescent</t>
  </si>
  <si>
    <t>3 Locust St</t>
  </si>
  <si>
    <t>Dreamers Cove Dredged Material Placement</t>
  </si>
  <si>
    <t>NYS DEC Permit ID 1-4736-08027/00003</t>
  </si>
  <si>
    <t>USACE (2013o)</t>
  </si>
  <si>
    <t>Suffolk County periodically dredges Meetinghouse Creek and places an anticipated 3,500 cy of material along 350 ft of northeast beach and 500 cy of material along 250 ft of southwest beach at Indian Island County Park.  Precise project location was not previously known.</t>
  </si>
  <si>
    <t>NYS DEC Permit ID 1-4730-01678/00003</t>
  </si>
  <si>
    <t>USACE (2012a)</t>
  </si>
  <si>
    <t>Suffolk County periodically dredges the inlet at Dreamers Cove (Cases Creek) and places the sediment on the beach east of the inlet; the 2012 USACE permit anticipated placing 5,000 cy of sediment along 1,200 ft of beach, then 2 additional maintenance dredging episodes of 3,000 cy placed on the same beach placement area</t>
  </si>
  <si>
    <t>Meschutt Beach County Park 2016 Sediment Placement</t>
  </si>
  <si>
    <t>USACE (2016h)</t>
  </si>
  <si>
    <t xml:space="preserve">Suffolk County requested a 10 year maintenance dredging permit for the Shinnecock Canal inlet in March 2016, with anticipated dredging 5 times in the 10 year period with placement of dredged material at Meschutt Beach County Park to the east of the inlet. A one-time dredging of sediment immediately offshore of the beach to the west of the west jetty was also proposed for spring 2016 with placement of ~23,500 cy of fill on Meschutt Beach County Park to ameloriate winter 2015-16 erosion that threatened park facilities. </t>
  </si>
  <si>
    <t>Indian Island County Park (Southwest) Dredged Material Placement</t>
  </si>
  <si>
    <t>Indian Island County Park (Northeast) Dredged Material Placement</t>
  </si>
  <si>
    <t>Miamogue Lagoon Dredged Material Placement</t>
  </si>
  <si>
    <t>Hawks Creek Dredged Material Placement</t>
  </si>
  <si>
    <t>East Creek (Tut's Lane) Dredged Material Placement</t>
  </si>
  <si>
    <t>1961, 1965, 1975, 1981, 1983, annually</t>
  </si>
  <si>
    <t>Suffolk County (1985), USACE (2013p)</t>
  </si>
  <si>
    <t>Suffolk County periodically dredges East Creek and places dredged material on the beaches to the northeast and southwest of the inlet, with an anticipated volume of up to 5,000 cy dredged annually.  Initial placement included 8,000 cy of sediment around 2013.  Precise project location was not previously known.</t>
  </si>
  <si>
    <t>East Creek (South Jamesport Beach) Dredged Material Placement</t>
  </si>
  <si>
    <t>Fairhaven Property Owners Association, south end of Beach Rd</t>
  </si>
  <si>
    <t>1396 &amp; 1400 Peconic Bay Ave</t>
  </si>
  <si>
    <t>1437 Peconic Bay Blvd</t>
  </si>
  <si>
    <t>Laurel</t>
  </si>
  <si>
    <t>6 Beach Rd</t>
  </si>
  <si>
    <t>East Creek (Williamson Lane) Dredged Material Placement</t>
  </si>
  <si>
    <t>NYS DEC Permit ID 1-4730-01679/00003</t>
  </si>
  <si>
    <t>The Fairhaven Property Owners Association placed sand on the beach and planted vegetation after Hurricane Sandy in 2013</t>
  </si>
  <si>
    <t>USACE (2013p)</t>
  </si>
  <si>
    <t>Suffolk County periodically dredges East Creek and places dredged material on the beaches to the northeast and southwest of the inlet, with an anticipated volume of up to 5,000 cy dredged annually.  Precise project location was not previously known.</t>
  </si>
  <si>
    <t>NYS DEC Permit ID 1-4730-01645/00001 &amp; 1-4730-01683/00002</t>
  </si>
  <si>
    <t>2 Adjacent private property owner repaired/replaced bulkhead in 2013, placed sediment as backfill</t>
  </si>
  <si>
    <t>NYS DEC Permit ID 1-4730-01310/00004</t>
  </si>
  <si>
    <t>NYS DEC Permit ID 1-4730-01672/00003</t>
  </si>
  <si>
    <t>Private property owner repaired/replaced septic system in 2013, placed sediment as backfill</t>
  </si>
  <si>
    <t>Brushs Creek Dredged Material Placement</t>
  </si>
  <si>
    <t>100 &amp; 200 MacDonalds Crossing</t>
  </si>
  <si>
    <t>4716 &amp; 4718 Peconic Bay Blvd</t>
  </si>
  <si>
    <t>4250 Peconic Bay Blvd</t>
  </si>
  <si>
    <t>5580 &amp; 5600 Peconic Bay Blvd</t>
  </si>
  <si>
    <t>2950 Sigsbee Rd</t>
  </si>
  <si>
    <t>NYS DEC Permit ID 1-4738-00058/00010 &amp; 1-4738-04328/00003</t>
  </si>
  <si>
    <t xml:space="preserve">Adjacent private property owner repaired/replaced bulkhead at 100 MacDonald Crossing and removed the bulkhead at 200 MacDonald Crossing in 2013, then both placed sediment as backfill </t>
  </si>
  <si>
    <t>NYS DEC Permit ID 1-4730-04246/00003</t>
  </si>
  <si>
    <t>Adjacent private property owner repaired/replaced bulkhead in 2013, placed sediment as backfill</t>
  </si>
  <si>
    <t>NYS DEC Permit ID 1-4730-04265/00004</t>
  </si>
  <si>
    <t>NYS DEC Permit ID 1-4730-04302/00003</t>
  </si>
  <si>
    <t>NYS DEC Permit ID 1-4739-04245/00003</t>
  </si>
  <si>
    <t>NYS DEC Permit ID 1-4738-04167/00003</t>
  </si>
  <si>
    <t>Marlene Lane Civic Association repaired/replaced bulkhead and stairs in 2013, placed sediment as backfill</t>
  </si>
  <si>
    <t>Veterans Memorial Park</t>
  </si>
  <si>
    <t>James Creek Dredged Material Placement</t>
  </si>
  <si>
    <t>3190 &amp; 2000 Park Ave</t>
  </si>
  <si>
    <t>NYS DEC Permit ID 1-4738-02039/00005 &amp; 1-4738-04300/00003</t>
  </si>
  <si>
    <t>Private property owners placed sand on the beach and planted vegetation after Hurricane Sandy</t>
  </si>
  <si>
    <t>Deep Hole Creek Dredged Material Placement</t>
  </si>
  <si>
    <t>Halls Creek Dredged Material Placement</t>
  </si>
  <si>
    <t>Cutchogue</t>
  </si>
  <si>
    <t>Downs Creek Dredged Material Placement</t>
  </si>
  <si>
    <t>Lisinski (2015), USACE (2015p), NYS DEC Permit 1-4738-00219/00008</t>
  </si>
  <si>
    <t xml:space="preserve">In December 2015, Downs Creek LLC (a private landowner) relocated Downs Creek Inlet ~1,000 ft west to its 2012 location and placed ~3,000 cubic yards of excavated material on the islet created between the two inlets. </t>
  </si>
  <si>
    <t>New Suffolk</t>
  </si>
  <si>
    <t>410 &amp; 484 Jackson St</t>
  </si>
  <si>
    <t>NYS DEC Permit ID 1-4738-04115/00004</t>
  </si>
  <si>
    <t>Private property owner placed sand on the beach in 2013</t>
  </si>
  <si>
    <t>New Suffolk Town Beach Dredged Material Placement</t>
  </si>
  <si>
    <t xml:space="preserve">Since 1977 Suffolk County periodically dredges the adjacent anchorage to the northeast and places the dredged sediment on New Suffolk Town Beach.  Sediment volumes range from 1,000 to 4,000 cy of fill material.  Precise project locations were not available.  The excavation of sediment is visible in 9/19/2013 imagery but there is no deposition at New Suffolk Town Beach.  </t>
  </si>
  <si>
    <t>Schoolhouse Creek Dredged Material Placement</t>
  </si>
  <si>
    <t>Wickham Creek Dredged Material Placement</t>
  </si>
  <si>
    <t>Mud Creek Dredged Material Placement</t>
  </si>
  <si>
    <t>Meadow Beach (Horseshoe Cove) Dredged Material Placement</t>
  </si>
  <si>
    <t>6825 &amp; 6925 Nassau Point Rd</t>
  </si>
  <si>
    <t>650 Cedar Point Dr East</t>
  </si>
  <si>
    <t>1760 Esplanade at Sunset Ln</t>
  </si>
  <si>
    <t>3620 Paradise Point Rd</t>
  </si>
  <si>
    <t>NYS DEC Permit ID 1-4738-01967/00006  &amp; 1-4738-04203/00007</t>
  </si>
  <si>
    <t>Adjacent private property owners repaired/replaced bulkhead in 2013, placed sediment as backfill</t>
  </si>
  <si>
    <t>NYS DEC Permit ID 1-4738-02189/00005</t>
  </si>
  <si>
    <t>NYS DEC Permit ID 1-4738-03716/00005</t>
  </si>
  <si>
    <t>The Angel Shores HOA placed sand on the beach in 2013 after Hurricane Sandy</t>
  </si>
  <si>
    <t>NYS DEC Permit ID 1-4738-04243/00003</t>
  </si>
  <si>
    <t>Peconic</t>
  </si>
  <si>
    <t>Little Creek Dredged Material Placement</t>
  </si>
  <si>
    <t>Richmond Creek (South) Dredged Material Placement</t>
  </si>
  <si>
    <t>Richmond Creek (Emerson Park) Dredged Material Placement</t>
  </si>
  <si>
    <t>Corey Creek (West) Dredged Material Placement</t>
  </si>
  <si>
    <t>1967, 1972, 1981, 1983, 1984, every 2 years</t>
  </si>
  <si>
    <t>Suffolk County (1985), Town of Southold (2011), USACE (2015n)</t>
  </si>
  <si>
    <t>Corey Creek (East) Dredged Material Placement</t>
  </si>
  <si>
    <t>Cedar Beach Creek Dredged Material Placement</t>
  </si>
  <si>
    <t>3880 Paradise Point Rd</t>
  </si>
  <si>
    <t>NYS DEC Permit ID 1-4738-04260/00005</t>
  </si>
  <si>
    <t>Goose Creek Dredged Material Placement</t>
  </si>
  <si>
    <t>1967, 1968, 1976, ave. every 3 years</t>
  </si>
  <si>
    <t>Suffolk County (1985), Town of Southold (2011), USACE (2015m)</t>
  </si>
  <si>
    <t>Dredged material from Goose Creek historically was placed on upland site but then placed on beaches nearby, with 46,700 cy in 1959, 75,200 cy in 1967, 11,100 cy in 1968 and 6,000 cy in 1976.  Suffolk County's 2015 renewal of a maintenance dredging permit from the USACE anticipated dredging up to 7,000 cy every 3 years for 10 years.</t>
  </si>
  <si>
    <t>755 N Parrish Rd</t>
  </si>
  <si>
    <t>1415 N Parrish Rd</t>
  </si>
  <si>
    <t>NYS DEC Permit ID 1-4738-04049/00004</t>
  </si>
  <si>
    <t>NYS DEC Permit ID 1-4738-03006/00004</t>
  </si>
  <si>
    <t>Greenport</t>
  </si>
  <si>
    <t>Stirling Basin Dredged Material Placement</t>
  </si>
  <si>
    <t>USACE (2013q)</t>
  </si>
  <si>
    <t>The Village of Greenport periodically dredges the inlet channel at Stirling Basin and places ~6,000 cy of sediment along 400 ft of beach east of the inlet.</t>
  </si>
  <si>
    <t>Shelter Island</t>
  </si>
  <si>
    <t>Town Creek Dredged Material Placement</t>
  </si>
  <si>
    <t>dredged material from Town Creek / Harbor placed on beach to the west at Founders Landing Park, with 23,200 cy in 1959, 93,400 cy in 1959, and 9,000 cy in 1976</t>
  </si>
  <si>
    <t>Gull Pond Dredged Material Placement</t>
  </si>
  <si>
    <t>East Marion</t>
  </si>
  <si>
    <t>500 Beach Ct</t>
  </si>
  <si>
    <t>330 South Ln</t>
  </si>
  <si>
    <t>50 &amp; 110 Rabbit Ln</t>
  </si>
  <si>
    <t>640 Rabbit Ln</t>
  </si>
  <si>
    <t>1655 to 1755 Trumans Path</t>
  </si>
  <si>
    <t>11292 Main Rd</t>
  </si>
  <si>
    <t>12860 Main Rd</t>
  </si>
  <si>
    <t>USACE (2013r)</t>
  </si>
  <si>
    <t>A private property owner dredged a boat basin off of Spring Pond and placed 125 cy of dredged sediment plus 200 cy of sediment from an upland source along the beach at 500 Beach Ct south of the inlet to Spring Pond</t>
  </si>
  <si>
    <t>NYS DEC Permit ID 1-4738-03406/00005</t>
  </si>
  <si>
    <t>NYS DEC Permit ID 1-4738-04257/00003 &amp; 1-4738-04168/00008</t>
  </si>
  <si>
    <t>NYS DEC Permit ID 1-4738-02752/00004</t>
  </si>
  <si>
    <t>NYS DEC Permit ID 1-4738-04244/00003, 1-4738-03007/00004 &amp; 1-4738-03338/00004</t>
  </si>
  <si>
    <t>3 adjacent private property owner repaired/replaced bulkhead in 2013, placed sediment as backfill</t>
  </si>
  <si>
    <t>NYS DEC Permit ID 1-4738-03832/00002</t>
  </si>
  <si>
    <t>NYS DEC Permit ID 1-4738-01781/00006</t>
  </si>
  <si>
    <t>Orient Beach State Park (North) Beach / Dune Fill</t>
  </si>
  <si>
    <t>Orient Beach State Park (Central) Beach / Dune Fill</t>
  </si>
  <si>
    <t>Orient Beach State Park (South) Beach / Dune Fill</t>
  </si>
  <si>
    <t>3/6/12 GE imagery shows piles of sand at SW end of causeway revetment; sand piles also visible in front of ranger station like dune construction some dune reconstruction work between groins 2 and 3 in park (groins 44 &amp; 45 in Armor Layer for Google Earth)</t>
  </si>
  <si>
    <t>3/6/12 GE imagery shows some dune reconstruction work between groins 2 and 3 in park (groins 44 &amp; 45 in Armor Layer for Google Earth); also piles of sand in front of ranger station like dune construction and at SW end of causeway revetment</t>
  </si>
  <si>
    <t>Coecles Harbor Dredged Material Placement</t>
  </si>
  <si>
    <t>Suffolk County periodically places ~15,000 to 35,000 cy of sediment dredged from Coecles Harbor inlet and associated channels south of the inlet (primary placement site) and north of the inlet (secondary placement site).  In 1966, 143,200 cy were placed on nearby beaches.</t>
  </si>
  <si>
    <t>Suffolk County (1985), USACE (2013s)</t>
  </si>
  <si>
    <t>Smith Cove, Shelter Island Dredged Material Placement</t>
  </si>
  <si>
    <t>Wade's Beach, Shelter Island Dredged Material Placement</t>
  </si>
  <si>
    <t>West Neck Harbor, Shelter Island Dredged Material Placement</t>
  </si>
  <si>
    <t>Shell Beach, Shelter Island Dredged Material Placement</t>
  </si>
  <si>
    <t>24 Peconic Ave</t>
  </si>
  <si>
    <t>NYS DEC Permit ID 1-4732-00993/00001</t>
  </si>
  <si>
    <t>Private property owner placed sand on the beach and installed sandbag revetment</t>
  </si>
  <si>
    <t>Crab Creek, Shelter Island Dredged Material Placement</t>
  </si>
  <si>
    <t>7 Chequit Ave</t>
  </si>
  <si>
    <t>81 Ram Island Dr</t>
  </si>
  <si>
    <t>141 &amp; 145 N Ram Island Dr</t>
  </si>
  <si>
    <t>Reel Point Preserve</t>
  </si>
  <si>
    <t>NYS DEC Permit ID 1-4732-01005/00003</t>
  </si>
  <si>
    <t>NYS DEC Permit ID 1-4732-00611/00006</t>
  </si>
  <si>
    <t>NYS DEC Permit ID 1-4732-00994/00004</t>
  </si>
  <si>
    <t>NYS DEC Permit ID 1-4732-00080/00009 &amp; 1-4732-00291/000014</t>
  </si>
  <si>
    <t>Lane (2013), USACE (2013s), NYS DEC Permit ID 1-4732-01006/00004</t>
  </si>
  <si>
    <t>~10,000 cy of sediment dredged from the inlet to Coecles Harbor was placed on the barrier spit in June 2013, then another 100,000 cy in the fall of 2013.  Suffolk County also periodically places ~15,000 to 35,000 cy of sediment dredged from Coecles Harbor inlet and associated channels south of the inlet (primary placement site) and north of the inlet (secondary placement site).</t>
  </si>
  <si>
    <t>Gaylor Hole, Gardiner's Island Dredged Material Placement</t>
  </si>
  <si>
    <t>Dredged material is periodically placed on beaches to north and south of Gaylor Hole</t>
  </si>
  <si>
    <t>1 Ranch Road</t>
  </si>
  <si>
    <t>40 Deforest Road, Montauk Colony</t>
  </si>
  <si>
    <t>Ditch Plains Town Beach</t>
  </si>
  <si>
    <t>74 Surfside Avenue</t>
  </si>
  <si>
    <t>Atlantic Terrace Motel, 1 Oceanview Terrace</t>
  </si>
  <si>
    <t>Downtown Montauk Stabilization Project</t>
  </si>
  <si>
    <t>642 Old Montauk Highway</t>
  </si>
  <si>
    <t>390 Old Montauk Highway</t>
  </si>
  <si>
    <t>2012-2013</t>
  </si>
  <si>
    <t>2015-2016</t>
  </si>
  <si>
    <t>2012-2013 and/or 2014</t>
  </si>
  <si>
    <t>NYS DEC Permit 2-4724-01924/00003</t>
  </si>
  <si>
    <t>a private property owner placed fill at the base of the bluff and installed sand fencing and vegetation in 2013</t>
  </si>
  <si>
    <t>NYS DEC Permit 1-4724-00245/00027</t>
  </si>
  <si>
    <t>private property owner placed fill on the beachfront; imagery indicates fill was placed landward of the revetment as backfill; no beach was present in 2015 seaward of the revetment</t>
  </si>
  <si>
    <t>NYS DEC Permits 1-4724-00579/00007 &amp; 1-4724-00579/00009</t>
  </si>
  <si>
    <t>private property owner placed fill on the beach in both 2012-2013 and again in 2014</t>
  </si>
  <si>
    <t>NYS DEC Permit 1-4724-01779/00006</t>
  </si>
  <si>
    <t>private property owner placed fill on the beach at the base of the bluff in 2013</t>
  </si>
  <si>
    <t>NYS DEC Permit 1-4724-01876/00001</t>
  </si>
  <si>
    <t>private property owner placed fill on the beach shortly after Hurricane Sandy to restore/create the dune and fill under the deck</t>
  </si>
  <si>
    <t>NYS DEC Permit 1-4724-02019/00001, USACE (2014a)</t>
  </si>
  <si>
    <t>The USACE Downtown Montauk Stabilization Project used approximately 51,000 cubic yards of fill from an upland source to fill sandbags to construct a revetment along 3,100 ft of Montauk beaches. Approximately 20,000 cubic yards were scraped from the beach to cover the sandbag revetment and create an artificial, reinforced dune and berm. The project was constructed in two phases in 2015, with project finalization in the spring of 2016.   Total fill volume may have increased to 102,000 cubic yards following erosion from a December 2014 nor'easter.</t>
  </si>
  <si>
    <t>NYS DEC Permit 1-4724-01976/00003</t>
  </si>
  <si>
    <t>private property owner placed fill on the beach at the base of the bluff in 2014, installed sand fencing and vegetation</t>
  </si>
  <si>
    <t>NYS DEC Permit 1-4724-01891/00003</t>
  </si>
  <si>
    <t>private property owner placed fill on the beach at the base of the bluff in late 2012 or early 2013 and/or in 2014; the original permit was issued 11/15/2012 and then re-issued 11/1/2013; it is unclear if work was performed once or twice</t>
  </si>
  <si>
    <t>1997, multiple times through 2007, 2013, 2014</t>
  </si>
  <si>
    <t>Town of East Hampton (1999), NYS DEC Permits 1-4724-00261/00013, 1-4724-00261/00016 &amp; 1-4724-00261/00021</t>
  </si>
  <si>
    <t>Town of East Hampton has previously placed dredged material on the town beach at Ditch Plains, but a length was not previously identified; NYS DEC permits for 2013 describe fill from an upland source placed on the beach; the length is based off of the property boundaries for 2 and 6 Deforest Road.  Additional fill from an upland source was used to reconstruct a dune near the main parking lot in 2014.</t>
  </si>
  <si>
    <t>376 Old Montauk Highway</t>
  </si>
  <si>
    <t>Gurneys Inn Resort &amp; Spa, 290 Old Montauk Hwy</t>
  </si>
  <si>
    <t>401 to 415 Marine Blvd.</t>
  </si>
  <si>
    <t>East Hampton Village</t>
  </si>
  <si>
    <t>252 Further Lane</t>
  </si>
  <si>
    <t>43 East Dune Lane</t>
  </si>
  <si>
    <t>73 Highway Behind the Pond</t>
  </si>
  <si>
    <t>29 Lily Pond Lane</t>
  </si>
  <si>
    <t>20 Drew Lane</t>
  </si>
  <si>
    <t>137 Lily Pond Lane</t>
  </si>
  <si>
    <t>NYS DEC Permit Application ID 1-4724-02079/00002</t>
  </si>
  <si>
    <t>A private property owner applied for a NYS DEC Permit in October 2015, proposing to place 100 cubic yards of sand at the base of the bluff and install staked coir logs as a bulkhead/revetment.  No permit had been issued by the end of 2015.</t>
  </si>
  <si>
    <t>NYS DEC Permit 1-4724-00344/00007</t>
  </si>
  <si>
    <t>Gurneys Inn received NYS DEC Permit 1-4724-00344/00007 in 2015 to place 6,400 cubic yard of sand from an upland source to restore or build an artificial dune. American beach grass would then be planted on 12" centers. Project length is based on the property boundaries for 290 Old Montauk Highway, Montauk.</t>
  </si>
  <si>
    <t>NYS DEC Permits 1-4724-01922/00003, 1-4724-01921/00003, 1-4724-01921/00003, 1-4724-00352/00005 &amp; 1-4724-01920/00003</t>
  </si>
  <si>
    <t>4 adjacent private property owners installed a sand cube revetment, buried the revetment with fill material, planted vegetation and installed sand fencing in 2013</t>
  </si>
  <si>
    <t>NYS DEC Permit 1-4724-01691/00008</t>
  </si>
  <si>
    <t>private property owner placed fill in two overwash gaps in dune field, then graded the fill to create dune/levees across the low areas</t>
  </si>
  <si>
    <t>NYS DEC Permit 1-4724-01938/00003</t>
  </si>
  <si>
    <t>private property owner placed fill on the beach to create/restore a dune/levee</t>
  </si>
  <si>
    <t>NYS DEC Permit 1-4724-01531/00008</t>
  </si>
  <si>
    <t>NYS DEC Permit 1-4724-01919/00003</t>
  </si>
  <si>
    <t>private property owner placed fill on the beach to create/restore a dune/levee; property is adjacent to East Hampton Main Beach and within the 1959-60 beach fill area</t>
  </si>
  <si>
    <t>NYS DEC Permit 1-4724-01916/00003</t>
  </si>
  <si>
    <t>private property owner placed fill on the beach to create/restore a dune/levee; property is within the 1959-60 beach fill area; the permit application erroneously lists the address as 26 Drew Lane, which does not exist</t>
  </si>
  <si>
    <t>NYS DEC Permit 1-4724-01911/00001</t>
  </si>
  <si>
    <t>property is within the 1959-60 beach fill area</t>
  </si>
  <si>
    <t>Montauk Shores Condominiums (100 Deforest Rd)</t>
  </si>
  <si>
    <t>(no beach present in 2015)</t>
  </si>
  <si>
    <t>165 Lily Pond Lane</t>
  </si>
  <si>
    <t>197 Lily Pond Lane</t>
  </si>
  <si>
    <t>201 Lily Pond Lane</t>
  </si>
  <si>
    <t>7 West End Road</t>
  </si>
  <si>
    <t>11 West End Road, Zweig Property Revetment</t>
  </si>
  <si>
    <t>35 West End Road</t>
  </si>
  <si>
    <t>75 West End Road</t>
  </si>
  <si>
    <t>85 &amp; 93 West End Road</t>
  </si>
  <si>
    <t>Wainscott</t>
  </si>
  <si>
    <t>Georgica Association Road</t>
  </si>
  <si>
    <t>118 to 124 Beach Lane</t>
  </si>
  <si>
    <t>2013-2014</t>
  </si>
  <si>
    <t>NYS DEC Permit 1-4724-00591/00004</t>
  </si>
  <si>
    <t>A private property owner obtained a NYS DEC permit to place 2,800 cubic yards of sand on the beach to restore/create the dune in March 2014. The permit expires March 5, 2019. Google Earth imagery from September 2014 and May 2015 indicate fill has not been placed yet.</t>
  </si>
  <si>
    <t>NYS DEC Permit 1-4724-01979/00003</t>
  </si>
  <si>
    <t>A private property owner repaired or replaced the stone revetment then buried the revetment with fill in 2014</t>
  </si>
  <si>
    <t>NYS DEC Permit 1-4724-00855/00007</t>
  </si>
  <si>
    <t>A private property owner buried the stone revetment with fill in 2013 and graded the fill to form an artificial, reinforced dune.</t>
  </si>
  <si>
    <t>NYS DEC Permit 1-4724-01848/00007</t>
  </si>
  <si>
    <t>A private property owner repaired/replaced the revetment and then added fill to the beach in late 2013 or early 2014.</t>
  </si>
  <si>
    <t>Weaver (2013a, 2013b), Reynolds (2013a, 2013b), Thompson (2014)</t>
  </si>
  <si>
    <t>The project removed the existing short groin, constructed a rock revetment, covered the revetment with 4,000 cubic yards of sand from an upland source, installed sand fencing and planted beach grass.  Work was started in November 2013, temporarily halted due to a legal challenge by the East Hampton Trustees, and resumed in March 2014.  The property is within the 1959-60 federal beach fill project area in East Hampton.</t>
  </si>
  <si>
    <t>NYS DEC Permit 1-4724-01890/00001</t>
  </si>
  <si>
    <t>A private property owner placed fill on the beach to create/restore a dune/levee.  The property is within the 1959-60 federal beach fill project area in East Hampton.</t>
  </si>
  <si>
    <t>NYS DEC Permit 1-4724-00231/00005</t>
  </si>
  <si>
    <t>NYS DEC Permits 1-4724-01923/00003 &amp; 1-4724-00316/00009</t>
  </si>
  <si>
    <t>Adjacent private property owner placed fill on the beach and graded/scraped the fill to create/restore a dune/levee.  The property is within the 1959-60 federal beach fill project area in East Hampton.</t>
  </si>
  <si>
    <t>NYS DEC Permits 1-4724-00354/00004 &amp; 1-4724-00354/00006</t>
  </si>
  <si>
    <t>The Georgica Association received a 10 year NYS DEC Permit in 2006 to place 5,000 cy of upland fill material to construct / restore a dune. The permit was renewed on March 8, 2016. Project length is based on property boundaries and visible artificial dune.</t>
  </si>
  <si>
    <t>NYS DEC Permits 1-4724-00351/00011 &amp; 1-4724-00233/00009, Wright (2013e), Google Earth (2016)</t>
  </si>
  <si>
    <t>An artificial dune/levee was constructed along the beach fronting Wainscott Pond, spanning several private properties</t>
  </si>
  <si>
    <t>state of NY built 2 groins and placed 450,000 cy of fill along 12,500 ft of beach between Hook and Georgica Ponds; 10 acres of beach grass were also planted</t>
  </si>
  <si>
    <t>Sagaponack</t>
  </si>
  <si>
    <t>2 Town Line Road</t>
  </si>
  <si>
    <t>677 to 793 Daniel's Lane</t>
  </si>
  <si>
    <t>Potato &amp; Daniel's Roads</t>
  </si>
  <si>
    <t>25 Potato Road</t>
  </si>
  <si>
    <t>91 Potato Road</t>
  </si>
  <si>
    <t>281 Daniels Lane</t>
  </si>
  <si>
    <t>7 Fairfield Pond Lane</t>
  </si>
  <si>
    <t>143 Crestview Lane</t>
  </si>
  <si>
    <t>239 Gibson Lane</t>
  </si>
  <si>
    <t>142 Sandune Court</t>
  </si>
  <si>
    <t>1145 Sagaponack Main Street</t>
  </si>
  <si>
    <t>Sagaponack Beach Restoration Project</t>
  </si>
  <si>
    <t>NYS DEC Permit 1-4736-07845/00001, Sagaponack Erosion Control District (2012), CSE (2015)</t>
  </si>
  <si>
    <t>NYS DEC Permit 1-4736-01193/00007</t>
  </si>
  <si>
    <t>private property owner placed fill on the beach to create/restore a dune/levee; project location is within the large Sagaponack beach fill project area of 2013-14</t>
  </si>
  <si>
    <t>NYS DEC Permits 1-4736-03873/00007, 1-4736-03871/00007, 1-4736-01789/00013, 1-4736-04231/00006, 1-4736-01790/00018, 1-4736-02759/00011 &amp; 1-4736-01448/00005</t>
  </si>
  <si>
    <t>private property owners placed beach fill on top of a sand cube revetment; project location is within the large Sagaponack beach fill project area of 2013-2014</t>
  </si>
  <si>
    <t>NYS DEC Permits 1-4736-01675/00010, 1-4736-06502/00005, 1-4736-07013/00007 &amp; 1-4736-07893/00003</t>
  </si>
  <si>
    <t>NYS DEC Permit 1-4736-03867/00007</t>
  </si>
  <si>
    <t>NYS DEC Permit 1-4736-03843/00012</t>
  </si>
  <si>
    <t>NYS DEC Permit 1-4736-04661/00015</t>
  </si>
  <si>
    <t>NYS DEC Permit 1-4736-05694/00009</t>
  </si>
  <si>
    <t>NYS DEC Permit 1-4736-01242/00021</t>
  </si>
  <si>
    <t>private property owner placed fill on the beach to cover a geocube revetment; project location is within the large Sagaponack beach fill project area of 2013-14</t>
  </si>
  <si>
    <t>NYS DEC Permit 1-4736-06522/00013</t>
  </si>
  <si>
    <t>NYS DEC Permit 1-4736-02729/00005</t>
  </si>
  <si>
    <t>private property owner placed fill on the beach; project location is within the large Sagaponack beach fill project area of 2013-14</t>
  </si>
  <si>
    <t>NYS DEC Permit 1-4736-03273/00009.</t>
  </si>
  <si>
    <t>The Sagaponack Beach Restoration Project placed approximately 1,035,000 cy of sediment dredged from offshore along 14,125 ft of beach starting in December 2013 and ending in February 2014.   NOTE the project specifications list the project length at 14,125 ft, but in Google Earth the project length measured 13,864 ft.</t>
  </si>
  <si>
    <t>Sagaponack Pond 1962 Sediment Placement</t>
  </si>
  <si>
    <t>Bridgehampton &amp; Water Mill</t>
  </si>
  <si>
    <t>Bridgehampton - Water Mill Beach Restoration Project</t>
  </si>
  <si>
    <t>Bridgehampton</t>
  </si>
  <si>
    <t>221 to 249 Surfside Drive</t>
  </si>
  <si>
    <t>179 &amp; 191 Surfside Drive</t>
  </si>
  <si>
    <t>191 to 231 Mid Ocean Drive</t>
  </si>
  <si>
    <t>Mecox Beach Park</t>
  </si>
  <si>
    <t>15 &amp; 35 Dune Road</t>
  </si>
  <si>
    <t>55 Dune Road</t>
  </si>
  <si>
    <t>113 Dune Road</t>
  </si>
  <si>
    <t>241 Dune Road</t>
  </si>
  <si>
    <t>NYS DEC Permit 1-4736-07846/00001, Bridgehampton-Water Mill Erosion Control District (2012), CSE (2015)</t>
  </si>
  <si>
    <t>The Bridgehampton - Water Mill Beach Restoration Project placed approximately 1,092,500 cubic yards of sand dredged from an offshore borrow site along 15,625 ft of beach starting in the October 2013 and ending in December 2013.  NOTE that the project specifications state the project length is 15,625 ft, but in Google Earth the project length is measured as 15,462 ft.</t>
  </si>
  <si>
    <t>NYS DEC Permit 1-4736-07789/00004</t>
  </si>
  <si>
    <t>private property owner placed fill on the beach to create/restore a dune/levee; project location is within the large Bridgehampton-Water Mill beach fill project area of 2013</t>
  </si>
  <si>
    <t>NYS DEC Permits 1-4736-0115900003, 1-4736-00414/00003 &amp; 1-4736-06474/00004</t>
  </si>
  <si>
    <t>NYS DEC Permits 1-4736-01293/00014 &amp; 1-4736-07945/00003</t>
  </si>
  <si>
    <t xml:space="preserve"> NYS DEC Permits 1-4736-06852/00005, 1-4736-06846/00009, 1-4736-06847/00009 &amp; 1-4736-04975/00007</t>
  </si>
  <si>
    <t>NYS DEC Permit 1-4736-07803/00006</t>
  </si>
  <si>
    <t>project location is within the large Bridgehampton-Water Mill beach fill project area of 2013</t>
  </si>
  <si>
    <t>NYS DEC Permits 1-4736-01913/00005 &amp; 1-4736-07998/00003</t>
  </si>
  <si>
    <t>NYS DEC Permit 1-4736-01343/00011</t>
  </si>
  <si>
    <t>NYS DEC Permit 1-4736-08012/00003</t>
  </si>
  <si>
    <t>NYS DEC Permit 1-4736-08018/00003</t>
  </si>
  <si>
    <t xml:space="preserve">Beach fill was placed along 3,168 ft of beach in the area near Sagaponack Pond in 1962, but the precise location was not available. </t>
  </si>
  <si>
    <t>Mecox Bay Area 1962 Sediment Placement</t>
  </si>
  <si>
    <t>W. Scott Cameron Beach</t>
  </si>
  <si>
    <t>NYS DEC Permit 1-4736-03593/00005</t>
  </si>
  <si>
    <t>The Town of Southampton constructed two dune/levees on the south and west sides of the parking lot; project location is within the large Bridgehampton-Water Mill beach fill project area of 2013</t>
  </si>
  <si>
    <t>Water Mill</t>
  </si>
  <si>
    <t>Mecox Inlet (East) Dredged Material Placement</t>
  </si>
  <si>
    <t>Mecox Inlet (West) Dredged Material Placement</t>
  </si>
  <si>
    <t>annual</t>
  </si>
  <si>
    <t>In the spring of 2016, the Board of Trustees of the Freeholders and Commonality of the Town of Southampton renewed their 10 year USACE permit for annual dredging of the inlet, with an anticipated 35,000 cy of dredged material remoed annually and placed on the beaches immediately to the east and west.   Note that project length includes both inlet and oceanfront shorelines.</t>
  </si>
  <si>
    <t>USACE (2016f)</t>
  </si>
  <si>
    <t>1341 Flying Point Road</t>
  </si>
  <si>
    <t>1285 &amp; 1299 Flying Point Road</t>
  </si>
  <si>
    <t>1265 &amp; 1271 Flying Point Road</t>
  </si>
  <si>
    <t>Water Mill Beach Club, 1251 Flying Point Road</t>
  </si>
  <si>
    <t>1215 Flying Point Road</t>
  </si>
  <si>
    <t>1131 Flying Point Road</t>
  </si>
  <si>
    <t>1085 &amp; 1100 Flying Point Road</t>
  </si>
  <si>
    <t>380 &amp; 390 Fowler Street</t>
  </si>
  <si>
    <t>290 to 370 Fowler Street</t>
  </si>
  <si>
    <t>Village of Southampton</t>
  </si>
  <si>
    <t>275 &amp; 295 Fowler Street</t>
  </si>
  <si>
    <t>380 to 384 Barons Lane</t>
  </si>
  <si>
    <t>3A Squabble Lane</t>
  </si>
  <si>
    <t>328 to 376 Gin Lane</t>
  </si>
  <si>
    <t>212 to 272 Gin Lane</t>
  </si>
  <si>
    <t>46 to 154 Gin Lane</t>
  </si>
  <si>
    <t>16 Gin Lane</t>
  </si>
  <si>
    <t>St. Andrew's Dune Church</t>
  </si>
  <si>
    <t>96 &amp; 120 Meadow Lane</t>
  </si>
  <si>
    <t>170 Meadow Lane</t>
  </si>
  <si>
    <t>520 &amp; 550 Meadow Lane</t>
  </si>
  <si>
    <t>2013 or 2014</t>
  </si>
  <si>
    <t>NYS DEC Permit 1-4736-01195/00006</t>
  </si>
  <si>
    <t>NYS DEC Permit 1-4736-07895/00001 &amp; 1-4736-07445/00002</t>
  </si>
  <si>
    <t>private property owners placed fill to create/restore a dune/levee; project location is within the large Bridgehampton-Water Mill beach fill project area of 2013</t>
  </si>
  <si>
    <t>NYS DEC Permits 1-4736-07895/00001 &amp; 1-4736-07445/00002</t>
  </si>
  <si>
    <t>NYS DEC Permit 1-4736-01300/00012</t>
  </si>
  <si>
    <t>private property owner covered sand cube revetment with beach fill; location is within the large Bridgehampton-Water Mill beach fill project area of 2013</t>
  </si>
  <si>
    <t>NYS DEC Permit 1-4736-08006/00002</t>
  </si>
  <si>
    <t>NYS DEC Permit 1-4736-08010/00003</t>
  </si>
  <si>
    <t>private property owners placed fill on the beach to create/restore a dune/levee</t>
  </si>
  <si>
    <t>NYS DEC Permits 1-4736-01426/00003 &amp; 1-4736-06694/00005</t>
  </si>
  <si>
    <t>private property owners placed fill on the beach to create/restore a dune/levee; project location is within the large Bridgehampton-Water Mill beach fill project area of 2013</t>
  </si>
  <si>
    <t xml:space="preserve"> NYS DEC Permits 1-4736-08016/00003 &amp; 1-4736-07877/00001</t>
  </si>
  <si>
    <t>NYS DEC Permits 1-4736-05588/00003, 1-4736-07878/00001, 1-4736-03415/00008, 1-4736-06122/00003, 1-4736-05716/00005 &amp; 1-4736-07888/00001</t>
  </si>
  <si>
    <t>6 adjacent private property owners placed fill on the beach to create/restore a dune/levee</t>
  </si>
  <si>
    <t>NYS DEC Permits 1-4736-08029/00003 &amp; 1-4736-05157/00009</t>
  </si>
  <si>
    <t>NYS DEC Permits 1-4736-07910/00001, 1-4736-08015/00003 &amp; 1-4736-07225/00004</t>
  </si>
  <si>
    <t>3 adjacent property owners placed fill on the beach to create/restore a dune/levee</t>
  </si>
  <si>
    <t>NYS DEC Permit 1-4736-06898/00004</t>
  </si>
  <si>
    <t>NYS DEC Permits 1-4736-07982/00003, 1-4736-08017/00003, 1-4736-01852/000111 &amp; 1-4736-03849/00007</t>
  </si>
  <si>
    <t>4 adjacent property owners placed fill on the beach</t>
  </si>
  <si>
    <t>NYS DEC Permits 1-4736-07495/00006, 1-4736-07262/00004 &amp; 1-4736-05840/00004</t>
  </si>
  <si>
    <t>NYS DEC Permit 1-4736-07677/00005, 1-4736-07928/00001, 1-4736-08014/00003 &amp; 1-4736-08013/00003, Schwirtz (2013), Wright (2013a-d)</t>
  </si>
  <si>
    <t>A number of private property owners reinforced bulkheads exposed by Hurricane Sandy and/or constructed additional, larger steel seawalls immediately landward of the old timber bulkheads in 2013, then buried the walls in beach fill, installed sand fencing and planted beach grass.</t>
  </si>
  <si>
    <t>NYS DEC Permit 1-4736-01370/00005</t>
  </si>
  <si>
    <t>NYS DEC Permits 1-4736-05952/00002 and 1-4736-0592/00006, Melillo (2015)</t>
  </si>
  <si>
    <t>A steel bulkhead 375 ft long was constructed in October 2015 at St. Andrew's Dune Church. The bulkhead/seawall was buried under 4,800 cubic yards of sand that constructed an artificial dune, which was then planted with beach grass.  Shortly after Hurricane Sandy (late 2012 or early 2013), approximately 2,000 cubic yards of fill were placed on the property.</t>
  </si>
  <si>
    <t>NYS DEC Permits 1-4736-06969/00006 &amp; 1-4736-08122/00003</t>
  </si>
  <si>
    <t>2 adjacent property owners placed fill on the beach to create/restore a dune/levee</t>
  </si>
  <si>
    <t>NYS DEC Permit 1-4736-06152-00004</t>
  </si>
  <si>
    <t>NYS DEC Permits 1-4736-08028/00002 &amp; 1-4736-01516/00006</t>
  </si>
  <si>
    <t>1320 Meadow Lane</t>
  </si>
  <si>
    <t>NYS DEC Permit 1-4736-07758/00004</t>
  </si>
  <si>
    <t xml:space="preserve">The state of NY constructed an emergency dune project along 1,435 ft of beach in this area in 1995 and another fill project along 1,000 ft of beach in 1996. The precise locations of both were not available.  Suffolk County, state and federal dredging projects also have placed dredged material from Shinnecock Inlet on adjacent beaches, with 3,000 ft of beach receiving fill in 1997 and 3,500 ft in 1998, but the precise locations were not available, including which side(s) of the inlet has received fill. </t>
  </si>
  <si>
    <t>Shinnecock East County Park Dredged Material Placement</t>
  </si>
  <si>
    <t xml:space="preserve">Suffolk County periodically dredges channels in Shinnecock Bay in and near Shinnecock Inlet and places the dredged material on beaches to the east and west of the inlet. In 2015, an anticipated 1,200 cy of dredged material were placed east of the inlet and 21,600 cy to the west of the inlet. </t>
  </si>
  <si>
    <t>USACE (2015n)</t>
  </si>
  <si>
    <t>Village of Southampton &amp; Hampton Bays</t>
  </si>
  <si>
    <t>West of Shinnecock Inlet Interim Storm Damage Reduction Project</t>
  </si>
  <si>
    <t>Shinnecock West County Park Dredged Material Placement</t>
  </si>
  <si>
    <t>2012, 2013-14</t>
  </si>
  <si>
    <t>1997 ?</t>
  </si>
  <si>
    <t xml:space="preserve">Suffolk County periodically dredges channels in Shinnecock Bay in and near Shinnecock Inlet and places the dredged material on beaches to the east and west of the inlet. In 2015, an anticipated 1,200 cy of dredged material were placed east of the inlet and 21,600 cy to the west of the inlet.  </t>
  </si>
  <si>
    <t>West of Shinnecock Inlet Interim Storm Damage Reduction Project, initial construction by USACE with 610,000 cy in 2005 along 4,000 ft immediately west of jetty.  The project area received 301,000 cubic yards of fill dredged from Shinnecock Inlet in December 2012, shortly after Hurricane Sandy, then an additional ~450,000 cubic yards of fill dredged from offshore in the fall/winter of 2013-2014.</t>
  </si>
  <si>
    <t>1998?, periodic, 2015</t>
  </si>
  <si>
    <t>USFWS (2014a, b), USACE (2015n), USACE New York District website</t>
  </si>
  <si>
    <t>Tiana Beach Emergency Levee</t>
  </si>
  <si>
    <t>Approximately 2,000 feet of Tiana Beach received ~115,000 cubic yards of sediment dredged from Shinnecock Inlet in December 2012 by the USACE.  Dredged material was placed on 3,000 ft of Tiana Beach in 1993.  Approximately 100,000 cubic yards of sediment was dredged from offshore, stockpiled at Tiana Beach Town Park, and used to reconstruct 3,500 ft of dune as an emergency levee to prevent further overwashing and possible breaching of the island.  The project was sponsored by the Town of Southampton and constructed in the winter of 2014-2015.</t>
  </si>
  <si>
    <t>Moran (2012), USACE (2014b), PSDS (2016)</t>
  </si>
  <si>
    <t>46 Dune Road</t>
  </si>
  <si>
    <t>Hampton Bays - East Quogue</t>
  </si>
  <si>
    <t>35 &amp; 37 Dune Road</t>
  </si>
  <si>
    <t>61 Dune Road</t>
  </si>
  <si>
    <t>71 &amp; 73 Dune Road</t>
  </si>
  <si>
    <t>79 &amp; 81 Dune Road</t>
  </si>
  <si>
    <t>85 to 93 Dune Road</t>
  </si>
  <si>
    <t>103 &amp; 105 Dune Road</t>
  </si>
  <si>
    <t>111 Dune Road</t>
  </si>
  <si>
    <t>Quogue Beach Restoration Project</t>
  </si>
  <si>
    <t>212 &amp; 214 Dune Road</t>
  </si>
  <si>
    <t>198 Dune Road</t>
  </si>
  <si>
    <t>186 &amp; 188 Dune Road</t>
  </si>
  <si>
    <t>174 to 182 Dune Road</t>
  </si>
  <si>
    <t>Quogue Village Beach, 170-172 Dune Road</t>
  </si>
  <si>
    <t>158 to 168 Dune Road</t>
  </si>
  <si>
    <t>NYS DEC Permit 1-4736-07971/00003</t>
  </si>
  <si>
    <t>NYS DEC Permits 1-4736-06655/00008</t>
  </si>
  <si>
    <t>NYS DEC Permit 1-4736-06838/00002</t>
  </si>
  <si>
    <t>NYS DEC Permit 1-4736-08031/00003, 1-4736-01049/00008 &amp; 1-4736-07267/00005</t>
  </si>
  <si>
    <t>adjacent private property owners placed fill on the beach to create/restore a dune/levee</t>
  </si>
  <si>
    <t>NYS DEC Permit 1-4736-06469/00005 &amp; 1-4736-01083/00006</t>
  </si>
  <si>
    <t>2 private property owners placed fill on the beach to create/restore a dune/levee</t>
  </si>
  <si>
    <t>NYS DEC Permits 1-4736-06597/00002, 1-4736-05699/00004, 1-4736-05693/00004, 1-4736-01995/00004 &amp; 1-4736-07621/00004</t>
  </si>
  <si>
    <t>5 adjacent private property owners placed and graded fill on the beach to create/restore a dune/levee</t>
  </si>
  <si>
    <t>NYS DEC Permit 1-4736-06211/00002 &amp; 1-4736-08011/00003</t>
  </si>
  <si>
    <t>NYS DEC Permit 1-4736-02907/00006</t>
  </si>
  <si>
    <t>USACE (2015b)</t>
  </si>
  <si>
    <t>NYS DEC Permits 1-4736-01364/00010 &amp; 1-4736-07952/00003</t>
  </si>
  <si>
    <t>NYS DEC Permit 1-4736-05789/00009</t>
  </si>
  <si>
    <t>Quogue Associates received NYS DEC Permit 1-4736-05789/00009 in 2013 to place fill on the beach and regrade it</t>
  </si>
  <si>
    <t>NYS DEC Permits 1-4736-01391/00007 &amp; 1-4736-01763/00009</t>
  </si>
  <si>
    <t>NYS DEC Permits 1-4736-01762/00014, 1-4736-01761/00014, 1-4736-04163/00009, 1-4736-04159/00011, &amp; 1-4736-07567/00005</t>
  </si>
  <si>
    <t>5 adjacent private property owners placed fill on the beach to fill and bury a sand cube revetment and create/restore a dune/levee</t>
  </si>
  <si>
    <t>NYS DEC Permit 1-4736-01875/00009, as modified</t>
  </si>
  <si>
    <t>NYS DEC Permits 1-4736-07105/00008, 1-4736-06845/00003, 1-4736-01735/00004 &amp; 1-4736-06653/00006</t>
  </si>
  <si>
    <t>4 adjacent private property owners placed fill to fill and bury a sand cube revetment to create/restore a dune/levee</t>
  </si>
  <si>
    <t>The Village of Quogue proposed a beach fill project along its entire beachfront in 2015 using approximately 1,100,000 cubic yards of fill dredged from offshore, with one additional fill episode using ~350,000 cy within ten years.  Only 1.41 miles of the proposed project area does not overlap other project areas.</t>
  </si>
  <si>
    <t>Village of Quogue placed fill on the beach to bury a sand cube revetment and create/restore a dune/levee; 91 ft of beach previously received sediment placement in 1996</t>
  </si>
  <si>
    <t>Greene (2002), NYS DEC Permit 1-4736-01875/00009, as modified</t>
  </si>
  <si>
    <t>Quogue Dune Reconstruction</t>
  </si>
  <si>
    <t>permit valid for 10 years</t>
  </si>
  <si>
    <t>154 Dune Road</t>
  </si>
  <si>
    <t>148 to 152 Dune Road</t>
  </si>
  <si>
    <t>Quogue Beach Club, 130 Dune Road</t>
  </si>
  <si>
    <t>NYS DEC permit allowed reconstruction of 3,360 ft of dune using fill material from an upland source (16,500 cy was in the original permit, for 2,360 ft of dune); permit issued in 2007 and valid for 10 years; the precise location of the dune reconstruction project(s) could not be identified; it is assumed that the project area(s) overlap other permitted fill areas.</t>
  </si>
  <si>
    <t>NYS DEC Permit 1-4736-06638/00006</t>
  </si>
  <si>
    <t xml:space="preserve"> NYS DEC Permits 1-4736-06514/00004, 1-4736-07288/00004 &amp; 1-4736-07330/00004</t>
  </si>
  <si>
    <t>3 adjacent private property owners placed fill to fill and bury a sand cube revetment to create/restore a dune/levee</t>
  </si>
  <si>
    <t>NYS DEC Permit 1-4736-07559/00004</t>
  </si>
  <si>
    <t>The Quogue Beach Club at 130 Dune Road received NYS DEC Permit 1-4736-07559/00004 in 2013 to place fill on the beach and grade it to form an artificial dune</t>
  </si>
  <si>
    <t>Westhampton Interim Project</t>
  </si>
  <si>
    <t>2001, 2004, 2008, 2014-15</t>
  </si>
  <si>
    <t>Greene (2002), Bocamazo et al. (2011), Campbell (2014), USACE (2014a), USFWS (2014a&amp;e), USACE NY District website</t>
  </si>
  <si>
    <t>Westhampton Beach, Town of Southampton, West Hampton Dunes</t>
  </si>
  <si>
    <t>Town of Southampton</t>
  </si>
  <si>
    <t>Towns of Southampton and Brookhaven</t>
  </si>
  <si>
    <t>Nov-Dec 2012</t>
  </si>
  <si>
    <t>NYS DEC Permit 1-4722-03311/00013</t>
  </si>
  <si>
    <t>Suffolk County received NYS DEC Permit 1-4722-03311/00013 on January 8, 2013, to place sediment and regarde/scrape the dune(s) at the west end of Dune Road in Cupsogue County Park.  The permit was effective until October 31, 2013, but no further project details regarding fill volume, source or placement area were available.</t>
  </si>
  <si>
    <t>USACE (2013cc)</t>
  </si>
  <si>
    <t xml:space="preserve">The USACE, state of NY, and Suffolk County closed a breach opened by Hurricane Sandy at Cupsogue County Park in 2012. Approximately 200,000 cubic yards of sediment was dredged from the Moriches Inlet navigation channel to close the 1,500 ft wide breach a few weeks after the storm, in accordance with the federal Breach Contingency Plan. </t>
  </si>
  <si>
    <t>Westhampton Breach Fill Areas</t>
  </si>
  <si>
    <t>Westhampton Beach</t>
  </si>
  <si>
    <t>1953, 1954, 1962</t>
  </si>
  <si>
    <t>Breaches that opened during storms in 1938, 1953, 1954 and 1962 were artificially closed with fill material at several locations on Westhampton Island. Ten of 11 breaches reportedly were closed with fill in 1938, one in 1953, 10 in 1954, and several in 1962. Precise project locations and fill volumes were not available.</t>
  </si>
  <si>
    <t>Westhampton Interim Project by USACE intially constructed 1997 with 3.53 mcy of fill; portions of this larger project area have received fill since 1962.  The project area was renourished in 2001, 2004, 2008 and 2014-15.  The 6,000 ft west of groin 11 also received beach and dune fill in 1969-70.  Two breaches (Pike's Inlet and Little Pike's Inlet) opened in 1992 were artificially closed within this larger project area.</t>
  </si>
  <si>
    <t>Cupsogue Beach County Park 2009 Sediment Placement</t>
  </si>
  <si>
    <t>Cupsogue Beach County Park 2013 Dune Project</t>
  </si>
  <si>
    <t>Cupsogue 2012 Breach Closure</t>
  </si>
  <si>
    <t>Fire Island</t>
  </si>
  <si>
    <t>Smith Point Breach Closure</t>
  </si>
  <si>
    <t>Fire Island Inlet to Moriches Inlet (FIMI):  Smith Point County Park</t>
  </si>
  <si>
    <t>Fire Island to Moriches Inlet (FIMI):  Davis Park</t>
  </si>
  <si>
    <t>Fire Island to Moriches Inlet (FIMI):  Water Island</t>
  </si>
  <si>
    <t>Fire Island to Moriches Inlet (FIMI):  Fire Island Pines</t>
  </si>
  <si>
    <t>2014-2016</t>
  </si>
  <si>
    <t>The USACE, state of NY, and Suffolk County closed a breach opened by Hurricane Sandy at Smith Point County Park in 2012. Approximately 50,000 cubic yards of sediment was dredged from the Long Island Intracoastal Waterway navigation channel to close the 500 ft wide breach a few weeks after the storm, in accordance with the federal Breach Contingency Plan.</t>
  </si>
  <si>
    <t>USACE (2013b, 2014c, d); USFWS (2014a, b); Mike Bilecki, NPS, pers. comm. 4/27/16</t>
  </si>
  <si>
    <t>the FIMI project at Smith Point County Park was constructed in 2 phases, with phase 1 in late 2014-early 2015 and phase 2 in late 2015-early 2016</t>
  </si>
  <si>
    <t>NYS DEC Permit 1-4722-04843/00005 ; Mike Bilecki, NPS, pers. comm. 4/27/16</t>
  </si>
  <si>
    <t>NPS dredged the Watch Hill Marina and placed less than 50,000 cubic yards of dredged material on the beach in easternmost 500-600 ft of Davis Park</t>
  </si>
  <si>
    <t>planned for 2016-2017</t>
  </si>
  <si>
    <t>USACE (2014c,d), USFWS (2014a, b), USACE New York District website (5/3/16)</t>
  </si>
  <si>
    <t>Contract 3B extends from Ocean Bay Park to Davis Park and was scheduled to begin construction in fall 2016.</t>
  </si>
  <si>
    <t>Fire Island Inlet to Moriches Inlet (FIMI):  Cherry Grove</t>
  </si>
  <si>
    <t>USACE (2014a, b), USFWS (2014a, b), Suffolk County Government website (4/4/2016), USACE New York District website (5/3/16)</t>
  </si>
  <si>
    <t>spring 2014</t>
  </si>
  <si>
    <t>spring 2013</t>
  </si>
  <si>
    <t>USACE (2013c), USFWS (2014a, b), NYS DEC Permits 1-4799-00088/00002 &amp; 1-4720-00201/00029</t>
  </si>
  <si>
    <t>the state modified its federal permit to maintenance dredge the Captree State Channel west of the Robert Moses Bridge after Hurricane Sandy, with an additional 400,000 cy of dredged material placed along 12,000 ft of beach at Robert Moses SP from between fields 2 and 5 and/or a surplus stockpile site west of field 4; up to 200,000 cy of additional fill may have been trucked from the stockpile near Democrat Point to restore/create artificial dunes</t>
  </si>
  <si>
    <t>USFWS (2014a, b), NYS DEC Permit 1-4720-02081/00010</t>
  </si>
  <si>
    <t>the NYSDOT dredged 790,000 cy of material from the Fire Island Inlet Federal Navigation Channel,  with 566,000 cy placed along Ocean Parkway at Gilgo / Oak Beaches and 224,000 cy at the Robert Moses Causeway Traffic Circle and/or field 5</t>
  </si>
  <si>
    <t>Babylon</t>
  </si>
  <si>
    <t>Overlook Beach</t>
  </si>
  <si>
    <t>NYS DEC Permit 1-4720-03981/00009</t>
  </si>
  <si>
    <t>the Town of Babylon placed 50,000 cy of fill at Overlook Beach in late 2013 or early 2014; project length is estimated based on Google Earth imagery from 2012, 2013 and 2014</t>
  </si>
  <si>
    <t>Long Beach Dune Restoration:  Neptune to Pacific Boulevards</t>
  </si>
  <si>
    <t>Long Beach Dune Restoration:  New York to Nevada Avenues</t>
  </si>
  <si>
    <t>Jones Inlet to East Rockaway Inlet (Long Beach) Hurricane and Storm Damage Reduction Project</t>
  </si>
  <si>
    <t>PROJECT PROPOSED 2015, GROIN WORK INITIATED 2016, FILL WORK ANTICIPATED 2017</t>
  </si>
  <si>
    <t>Queens</t>
  </si>
  <si>
    <t>Rockaway Boardwalk Reconstruction Project</t>
  </si>
  <si>
    <t>1975, 1996, 2001, 2004, 2013, 2014</t>
  </si>
  <si>
    <t>2013-17</t>
  </si>
  <si>
    <t>NYC Office of Management and Budget (2014), NYS DEC Permits 2-6399-00003/00027 &amp; 1-2820-01475/00006</t>
  </si>
  <si>
    <t>The Rockaway Boardwalk Reconstruction Project installed concrete bulkheads ("sand retaining walls") from Beach 86th to Beach 97th Streets in 2013 and is installing them on the landward side of the entire boardwalk from Beach 126th to Beach 20th Streets. Sand is being placed under the boardwalk, filling the area between the concrete bulkheads and the 2014 USACE built artificial dune seaward of the boardwalk. Project completion is anticipated for 2017.</t>
  </si>
  <si>
    <t>Portions of this larger project area have received fill, some of it dredged material placement, since 1926; federal project since 1975 with larger project area since 2001 from Beach 149th St to Beach 19th St.  After Hurricane Sandy, ~600,000 cubic yards of fill were placed on the beach in 2013, then another 2.9 million cubic yards in 2014 from Beach 149th to Beach 19th Streets; a separate project constructed by New York City constructed an artificial dune/levee in the same project area.</t>
  </si>
  <si>
    <t>Rockaway Park</t>
  </si>
  <si>
    <t>1916, 1920, 1936, 1939, 1940, 2014</t>
  </si>
  <si>
    <t>Kings</t>
  </si>
  <si>
    <t>Coney Island &amp; Brighton Beach</t>
  </si>
  <si>
    <t>1926, 1941, 1961, 1995, 2004, 2013</t>
  </si>
  <si>
    <t>Greene (2002), PSDS (2016), NYS DEC Permit  2-6399-00001/00011, USACE New York District website (3/31/2016)</t>
  </si>
  <si>
    <t>First documented beach nourishment project in the country, reportedly used 2.5 mcy of material; federal project started 1995.  After Hurricane Sandy, 600,000 cy was placed with work completed in October 2013, with mined fill from Rockaway Inlet that was beyond the periodic navigational dredging dimensions</t>
  </si>
  <si>
    <t>Sea Gate</t>
  </si>
  <si>
    <t>USACE (2014e), NYS DEC Permit 2-6107-00086/00004, USACE New York District website (3/31/2016)</t>
  </si>
  <si>
    <t>The USACE as part of an erosion control project at Sea Gate modified 4 pre-existing groins and breakwaters into T-groins, placed additional armor at three locations on the Norton Point Dike, and placed approximately 125,000 cubic yards of fill mined from the Gravesend Bay shoreline and Rockaway Inlet along 2,000 feet of beach.  Some areas of the project area received fill placement in 1996 and 2004 to prevent flanking of the 37th Street groin.</t>
  </si>
  <si>
    <t>2004, 2015-16</t>
  </si>
  <si>
    <t>Moriches Inlet Dredged Material Placement</t>
  </si>
  <si>
    <t>Fire Island 1933 - 2008 Sediment Placement Areas</t>
  </si>
  <si>
    <t>190,000 cy from upland source, Suffolk County sponsor for 1996 project along 1000 ft of beach; 2009 project funded by FEMA, NY State Emergency Management Office, Suffolk County and local communities placed up to 310,000 cy along 13,000 ft beach in two sections; park also receives dredge spoil from Moriches Inlet channel maintenance by USACE; historically 5.66 miles of beach have received fill at Smith Point County Park, prior to FIMI</t>
  </si>
  <si>
    <t>Smith Point County Park 2009 Sediment Placement, Reach 1</t>
  </si>
  <si>
    <t>Smith Point County Park 2009 Sediment Placement, Reach 2</t>
  </si>
  <si>
    <t>Watch Hill Marina Dredged Material Placement</t>
  </si>
  <si>
    <t>Davis Park 2007 &amp; 2009 Sediment Placements</t>
  </si>
  <si>
    <t>Water Island 1996 Sediment Placement Area</t>
  </si>
  <si>
    <t>Fire Island Pines 2003 &amp; 2009 Sediment Placement Areas</t>
  </si>
  <si>
    <t>Contract 3B extends from Ocean Bay Park to Davis Park and was scheduled to begin construction in fall 2016.  1962 Operation Five-High extended along ~2,100 ft of beach and rebuilt ~ 400 ft of dune west of Cherry Grove</t>
  </si>
  <si>
    <t>USACE (1963, 2014c,d), USFWS (2014a, b), USACE New York District website (5/3/16)</t>
  </si>
  <si>
    <t>A locally-sponsored sediment placement project placed sediment on Great Gunn Beach in 1969, but precise project location was not available.  190,000 cy from upland source, Suffolk County sponsor for 1996 project along 1000 ft of beach; 2009 project funded by FEMA, NY State Emergency Management Office, Suffolk County and local communities placed up to 310,000 cy along 13,000 ft beach in two sections; park also receives dredged material from Moriches Inlet channel maintenance by USACE; historically 5.66 miles of beach have received fill at Smith Point County Park, prior to FIMI</t>
  </si>
  <si>
    <t>(see other project listings)</t>
  </si>
  <si>
    <t>Following the Ash Wednesday Storm of 1962, a federal emergency project called Operation Five-High placed 993,500 cy of sediment along Fire Island.  The Fire Island portion of the USACE emergency project extended along 37,000 ft of beach from Kismet to Bellport Beach and along 7,000 ft of dune in Ocean Beach, west of Cherry Grove, and Fire Island Pines.   Precise project locations were not available.</t>
  </si>
  <si>
    <t>Fire Island Operation Five-High (1962)</t>
  </si>
  <si>
    <t>Bellport Beach 1962 Sediment Placement</t>
  </si>
  <si>
    <t>Seaview, Ocean Bay Park and Point O'Woods 1993-94 Sediment Placement</t>
  </si>
  <si>
    <t>Central Fire Island 2009 Sediment Placement</t>
  </si>
  <si>
    <t>In 2009 the Central Fire Island sediment placement project placed sediment in Ocean Beach, Seaview, Ocean Bay Park and part of Point O'Woods. The taper section extended 500 ft into Point O'Woods on the east end of the project area. This area previously received beach fill in 2003-04 and 1962.  The 1962 Operation Five-High project extended along ~19,200 ft of beach from Kismet to the western boundary of Point O'Woods.</t>
  </si>
  <si>
    <t>Western Fire Island 2003 &amp; 2009 Sediment Placement</t>
  </si>
  <si>
    <t>A private project placed sediment in 2003-04 and again in 2009 along 8,500 ft of beach in Saltaire, Fair Harbor, Dunewood and Lonelyville.  With the exception of Lonelyville, the same project area previously received fill in 1962 and 1993-94.  The 1962 Operation Five-High project extended along ~19,200 ft of beach from Kismet to the western boundary of Point O'Woods.  In 1993-94, 465,000 cy was placed on the beach.</t>
  </si>
  <si>
    <t>Robert Moses SP Sediment Placements (1990s)</t>
  </si>
  <si>
    <t>Robert Moses SP has received dredged material from Fire Island Inlet since 1971, periodically placed along 2,000 ft of beach seaward of the traffic circle; 1992 dredging of Great South Bay Federal Navigation Project placed 118,577 cy placed on park beaches; episodes in 1992, 1993 and 1994 took place along 5.34 miles of beach according to Land Use Ecological Services et al. (2008); most recent deposition prior to Hurricane Sandy was 135,983 cy placed in 2003-04 at Fields 4 and 5</t>
  </si>
  <si>
    <t>April-May 2013</t>
  </si>
  <si>
    <t>Robert Moses SP (2014):  Fields 2 to 4</t>
  </si>
  <si>
    <t>Robert Moses SP (2013):  Fields 4 &amp; 5</t>
  </si>
  <si>
    <t>2003-04</t>
  </si>
  <si>
    <t xml:space="preserve">the state dredged the Captree Boat Basin and placed 320,000 cy of fill at fields 4 and 5; the state was issued a 10-year Corps permit in 2011 to maintenance dredge the boat basin with 169,000 cy of material periodically placed on the beaches of Robert Moses SP and/or in surplus stockpile areas; the post Sandy dredging and beach placement of fill was a modification of the existing permit; project length is estimated based on the locations of Fields 4 and 5 and 2013 aerial imagery in the online Suffolk County GIS Viewer that captured the work in progress.  In 2003-04, 135,983 cy of material dredged from Fire Island Inlet was placed along the beach fronting Fields 4 and 5 but the precise project location was not available. </t>
  </si>
  <si>
    <t>Coburn et al. (2010), USACE (2013c), USFWS (2014a, b), USACE New York District website</t>
  </si>
  <si>
    <t>Robert Moses SP Dredged Material Placement</t>
  </si>
  <si>
    <t>Coburn et al. (2010), USACE (2013a), USFWS (2014), PSDS (2016)</t>
  </si>
  <si>
    <t xml:space="preserve">2,000 ft of beaches in the state park near the traffic circle periodically receive dredged material from Fire Island Inlet and the Great South Bay Federal Navigation Project. </t>
  </si>
  <si>
    <t>Robert Moses SP (2013):  Traffic Circle</t>
  </si>
  <si>
    <t>Fire Island Inlet to Moriches Inlet (FIMI):  Robert Moses SP to Point O'Woods</t>
  </si>
  <si>
    <t>Contract 2 of FIMI initiated construction in October 2015, placing fill from Robert Moses SP to Saltaire. Construction continued into early 2016. Fill areas from Fair Harbor to Ocean Bay Park were expected to initiate construction in the spring of 2016 (Contract 3A). Fill areas from Point O'Woods to Davis Park were expected to initiate construction in the fall of 2016 (Contract 3B).  The Robert Moses SP section placed an anticipated 730,524 cy of fill along 16,725 feet of beach from Field 2 to the eastern boundary of the park. The Fire Island Lighthouse Tract section placed an anticipated 444,428 cy of fill along 5,400 ft. The Kismet to Lonelyville section extends 9,000 ft with an anticipated 391,983 cy of fill. The Atlantique to Corneille Estates section extends 4,400 ft with an anticipated 514,059 cy of fill. The Ocean Beach to Seaview section anticipated the placement of 282,057 cy of fill along 3,800 ft. of beach.  The Ocean Bay Park to Point O'Woods section extends 7,200 ft plus a 300 ft taper to the east, for a total fill area of 7,500 ft. with 441,689 cy of fill anticipated.  Fill dredged from offshore will be placed on the beach and to construct an artificial dune that will be vegetated.</t>
  </si>
  <si>
    <t>1962 or earlier</t>
  </si>
  <si>
    <t>Oak Beach Sediment Placements</t>
  </si>
  <si>
    <t>Sore Thumb Dike 1959 Sediment Placement</t>
  </si>
  <si>
    <t>Gilgo &amp; Tobay Beaches</t>
  </si>
  <si>
    <t>12 episodes through 2008, 2013-14 (2x)</t>
  </si>
  <si>
    <t>Greene (2002), USFWS (2014a, b), PSDS (2016), USACE NY District website, NYS DEC Permits 1-4720-02081/00010 &amp; 1-4720-02081/00014</t>
  </si>
  <si>
    <t>The NYSDOT dredged 790,000 cy of material from the Fire Island Inlet Federal Navigation Channel, with 566,000 cy placed along Ocean Parkway at Gilgo / Tobay Beaches to reconstruct an artificial dune along the Parkway, which was vegetated and sand fencing installed.  The USACE Fire Island Inlet and Shores Westerly to Jones Inlet project extends along 18,000 ft of this area and received between upwards of 2.3 mcy of sediment dredged from Fire Island Inlet in numerous episodes since 1960; in 2013-14 the USACE constructed a FCCE project with 2.3 mcy of sediment.  Precise project locations(s) for the dredged material placement were not previously available.</t>
  </si>
  <si>
    <t>Jones Beach SP 1926-27 Sediment Placement</t>
  </si>
  <si>
    <t>1973, 1990</t>
  </si>
  <si>
    <t>Dredged material from the navigation channel at Jones Inlet is periodically placed on Point Lookout area beaches under a Section 933 project; 1.591 mcy placed in 4 episodes of 1982, 1985, 1995 and 2008; state funded 2008 episode due to lack of federal funds; 1995 episode placed fill at Point Lookout Town Park, Middle Beach and Civic Beach.  In 2014 the USACE placed 680,000 cy of sediment on the beach.  The Hempstead / Point Lookout beaches also received sediment placement along 3,000 ft of beach in 1973, 1980, 1990 and 1994, but the project locations and source of the fill material were not available; it is assumed the sediment placement area overlaps the 3,500 ft Point Lookout dredged material placement area.</t>
  </si>
  <si>
    <t>1980, 1982, 1985, 1990, 1994, 1995, 2008, 2014</t>
  </si>
  <si>
    <t>CPE (2009b); USACE (2014b, 2015e, 2015g); NYS DEC Permit Application ID 1-2899-00008/00003</t>
  </si>
  <si>
    <t>Lido Beach 1962 Sediment Placement</t>
  </si>
  <si>
    <t>Point Lookout Dredged Material Placement</t>
  </si>
  <si>
    <t>NYS DEC Permit 1-2809-00085/00007, Google Earth imagery (10/11/2014)</t>
  </si>
  <si>
    <t>the City of Long Beach reconstructed the dunes between Neptune and Pacific Boulevards at the east end of the city; dune crossover walkways were also reconstructed; fill may have been overwash material removed from developed / paved areas or upland source</t>
  </si>
  <si>
    <t>the City of Long Beach reconstructed the dunes between New York and Nevada Avenues at the west end of the city; dune crossover walkways were also reconstructed; fill may have been overwash material removed from developed / paved areas or upland source</t>
  </si>
  <si>
    <t>East Rockaway Inlet to Rockaway Inlet (Rockaway Beach) Project</t>
  </si>
  <si>
    <t>Jacob Riis Park Historical Sediment Placements</t>
  </si>
  <si>
    <t>After Hurricane Sandy, the NPS placed approximately 200,000 cy of fill dredged from an offshore source on 5,700 ft of Jacob Riis Park; the easternmost ~2,300 ft has previously received fill, with the last known episode in 1940; the westernmost ~3,400 ft was new fill area.</t>
  </si>
  <si>
    <t>USACE Public Notice NAN-2014-00980-ESW</t>
  </si>
  <si>
    <t>Dallas et al. (2013)</t>
  </si>
  <si>
    <t>Most likely the oldest beach fill project in US with small projects in 1915, 1916 and 1920 with unknown lengths; 4,750 ft (1448 m) project length is east of bathhouse in 1939; 1936 and 1940 projects in front of bathhouse; estimated total length of bathhouse (650 ft) beach plus 4,750 ft to east.  Only 0.43 miles of the historical sediment placement areas does not overlap the USACE Rockaway Beach project area.</t>
  </si>
  <si>
    <t>Coney Island Reach, Rockaway Inlet to Norton Point Project</t>
  </si>
  <si>
    <t>Sea Gate Reach, Rockaway Inlet to Norton Point Project</t>
  </si>
  <si>
    <t>Monmouth</t>
  </si>
  <si>
    <t>USFWS (2002), Donohue et al. (2004), Beck and Kraus (2010), Dallas et al. (2013), Spoto (2013), PSDS (2016), USACE New York District website</t>
  </si>
  <si>
    <t>Sea Bright</t>
  </si>
  <si>
    <t>Sea Bright Bulkhead and Dune Restoration Project</t>
  </si>
  <si>
    <t>Sea Bright to Ocean Twp.</t>
  </si>
  <si>
    <t>PROPOSED 2016</t>
  </si>
  <si>
    <t>NJDEP Bureau of Coastal Engineering website, Spoto (2016)</t>
  </si>
  <si>
    <t>In early 2016, as part of a bulkhead and dune restoration project, the NJDEP Bureau of Coastal Engineering and the Borough of Sea Bright constructed a dune with fill material from the north end of a new steel bulkhead near River Street to the Sea Bright Beach Club. The dune construction project does not modify any new beach habitat in Sea Bright, however, because the entire Borough is within a federal beach fill project area.</t>
  </si>
  <si>
    <t>Sea Bright Dune Restoration Project</t>
  </si>
  <si>
    <t>Borough of Sea Bright Regular Meeting Minutes 2/5/2013 &amp; 4/2/2013</t>
  </si>
  <si>
    <t>Sea Bright Borough collected overwash material off of paved and developed areas immediately following Hurricane Sandy and stockpilked the material in municipal parking lots; the material was cleaned, trucked to the beach and used as dune fill on northern municipal beaches.  The project was constructed prior to the federal FCCE beach fill project placed sediment on the beach.  Sand fencing was installed and dune grasses were planted on the new artificial dunes.</t>
  </si>
  <si>
    <t>Sandy Hook - Critical Zone Sediment Placement</t>
  </si>
  <si>
    <t>Sandy Hook - North Beach Sediment Placement</t>
  </si>
  <si>
    <t xml:space="preserve">The "Critical Zone" of the Sandy Hook Unit of Gateway NRA has received beach fill numerous times.  Between 1977 and 2002, over 7 million cubic yards (mcy) of beach fill were placed in this area.  The longest beach fill project extended along 4,928 ft of beach in the Critical Zone in 1982-84.  Precise project locations were not available.  A steel bulkhead was installed in 1988 next to the road to protect the road between beach fill episodes.  The NPS more recently built a sand slurry pipeline to transport sand from Gunnison Beach to the north to place as fill in the Critical Zone as needed, but as of 2015 the pipeline had not transported any sediment.  </t>
  </si>
  <si>
    <t xml:space="preserve">In 1975 the North Beach area of the Sandy Hook Unit of Gateway NRA received 351,695 cy of beach fill along ~1,200 ft of beach. The beach received additional fill in 1976. Precise project location was not available. </t>
  </si>
  <si>
    <t>Middletown Twp.</t>
  </si>
  <si>
    <t>1977, 1980, 1984, 1990, 1997, 19989, 2002</t>
  </si>
  <si>
    <t>Edgewater Beach &amp; Cabana Club</t>
  </si>
  <si>
    <t xml:space="preserve">New sediment placement is visible in April 2013 Google Earth imagery at the Edgewater Beach and Cabana Club, raising the elevation of the beach seaward of the bulkhead where there is a gap in the long Sea Bright - Monmouth Beach seawall/revetment. </t>
  </si>
  <si>
    <t>New sediment placement is visible in April 2013 Google Earth imagery at the Driftwood Beach Club, raising the elevation of the beach seaward of the club.  The sediment appears to be from an upland source.</t>
  </si>
  <si>
    <t>Driftwood Beach Club</t>
  </si>
  <si>
    <t>Shrewsbury River Maintenance Dredging</t>
  </si>
  <si>
    <t>Monmouth Beach Bathing Pavilion</t>
  </si>
  <si>
    <t>April 2013</t>
  </si>
  <si>
    <t>Spoto (2014), USACE (2013ee)</t>
  </si>
  <si>
    <t>Maintenance dredging of navigation channels in the Shrewsbury River placed approximately 50,000 cy of sand on Monmouth Beach to create dunes in September 2014.  Precise project length was not available.</t>
  </si>
  <si>
    <t>Truck-hauled and deposited piles of sand are visible on the beach in April 2013 Google Earth imagery.  The sediment is most likely overwash material removed from developed inland areas.</t>
  </si>
  <si>
    <t>1963, 1966, 1995-96, 1995, 1996, 1999, 2002, 2013</t>
  </si>
  <si>
    <t>Federal Beach Erosion Control Project reach initially constructed 1995-1999; Sea Bright within this larger project area has been nourished since 1962 and the 1995-96 episode extended partway into Sandy Hook NRA.  The state placed sediment along 16,368 ft of Monmouth Beach in 1995 within the federal project area.</t>
  </si>
  <si>
    <t>Long Branch to Loch Arbour</t>
  </si>
  <si>
    <t>2014-16</t>
  </si>
  <si>
    <t>The Elberon to Loch Arbour section of the federal Sandy Hook to Barnegat Inlet Beach Erosion Control Project was initially constructed in 2014-16. Prior to Hurricane Sandy, this section of the larger project area was proposed but not constructed.  The sediment placement area extends from Lake Takanassee in the Elberon section of Long Branch to Deal Lake in Loch Arbour, for a distance of 3.5 miles. The project placed ~4.45 million cubic yards of sediment on the beach, notched 3 groins and lengthened 10 existing stormwater outfalls. The 3 groins notched during the project were at Philips Avenue, Deal Casino and Marine Place.</t>
  </si>
  <si>
    <t>Gladden (2015), USACE New York District website</t>
  </si>
  <si>
    <t>Elberon to Loch Arbour Storm Risk Reduction Project</t>
  </si>
  <si>
    <t>Long Branch Sediment Placements</t>
  </si>
  <si>
    <t>Asbury Park to Manasquan</t>
  </si>
  <si>
    <t>Sandy Hook to Barnegat Inlet Beach Erosion Control Project:  Section 2 - Asbury Park to Avon-by-the-Sea</t>
  </si>
  <si>
    <t>USFWS (2002), Donohue et al. (2004), Beck and Kraus (2010), PSDS (2016), USACE New York District website</t>
  </si>
  <si>
    <t>Belmar to Manasquan</t>
  </si>
  <si>
    <t>Sandy Hook to Barnegat Inlet Beach Erosion Control Project:  Section 2 - Belmar to Manasquan</t>
  </si>
  <si>
    <t>2001, 2002, 2014</t>
  </si>
  <si>
    <t>1997-99</t>
  </si>
  <si>
    <t>2001, 2002, 2013-14</t>
  </si>
  <si>
    <t>Shark River Dredged Material Placement</t>
  </si>
  <si>
    <t>1949, 1950, 1958, 1960, 1971, 1982, 1996, 2003</t>
  </si>
  <si>
    <t>Maintenance dredging of the federal navigation channels in the Shark River and Shark River Inlet has periodically placed the dredged material on the beach north of the jetty in Avon-by-the-Sea since 1947. In 1996, 57,000 cy of dredged material was placed on the beach. In 2003, 20,030 cy was placed on the beach.</t>
  </si>
  <si>
    <t>USACE (2014e), PSDS (2016)</t>
  </si>
  <si>
    <t>USACE (2014z)</t>
  </si>
  <si>
    <t>~150,000 cy of dredged material from the Shark River Inlet was placed in the nearshore in 2014.  Previous dredging events placed the dredged material on the beach in Avon-by-the-Sea.  Both the beach and nearshore placement sites are immediately north of the north jetty at the inlet.</t>
  </si>
  <si>
    <t>Shark River Dredged Material Placement Nearshore Berm</t>
  </si>
  <si>
    <t>Bradley Beach Sediment Placements</t>
  </si>
  <si>
    <t>Belmar 1967 &amp; 1972 Sediment Placement Areas</t>
  </si>
  <si>
    <t>1967 episode extended from 19th Ave. to North Blvd., 1970 &amp; 1975 episodes from 20th Ave. to North Blvd. (1,307 ft), 1972 episode from South Blvd. to 19th Ave.; 1994 state/local project extended along 1,180 ft of Spring Lake and Belmar beaches; may also have received dredged material from Shark River Inlet</t>
  </si>
  <si>
    <t>Spring Lake 1969-70 Sediment Placement</t>
  </si>
  <si>
    <t>USACE (2014k)</t>
  </si>
  <si>
    <t>The Borough of Spring Lake received a 10-year maintenance dredging permit from the USACE to periodically dredge Wreck Pond and place up to 37,000 cy of sediment on two sections of ocean beach to construct dunes, one located from Sussex to Union Avenues (2,300 ft) and another at Brown Avenue (165 ft); both sediment placement areas are within the larger federal beach fill project area that includes Spring Lake (the Sandy Hook to Barnegat Inlet Beach Erosion Control Project).</t>
  </si>
  <si>
    <t>Wreck Pond Dredged Material Placement (North)</t>
  </si>
  <si>
    <t>Wreck Pond Dredged Material Placement (South)</t>
  </si>
  <si>
    <t>Sea Girt 1978 Sediment Placement</t>
  </si>
  <si>
    <t>Ocean</t>
  </si>
  <si>
    <t>Point Pleasant Beach to Berkeley Twp.</t>
  </si>
  <si>
    <t>Sandy Hook to Barnegat Inlet Beach Erosion Control Project:  Section 3 - Manasquan to Barnegat Inlets</t>
  </si>
  <si>
    <t>USACE (2002), USFWS (2005), USACE Philadelphia District website</t>
  </si>
  <si>
    <t>Bay Head 1963 Sediment Placement</t>
  </si>
  <si>
    <t>USFWS (2002), Donohue et al. (2004), Beck and Kraus (2010), Spoto (2013), USACE (2014f), Gladden (2015), PSDS (2016)</t>
  </si>
  <si>
    <t>Sediment deposited by truck to construct an artificial dune is visible in April 2013 imagery. The sediment fill is most likely overwash material removed from inland developed areas following Hurricane Sandy.</t>
  </si>
  <si>
    <t>Lavallette 1953 Sediment Placement</t>
  </si>
  <si>
    <t>Lavallette 1962 Sediment Placement</t>
  </si>
  <si>
    <t>A 1962 sediment placement episode extended from Reese Ave. to Dover Ave.</t>
  </si>
  <si>
    <t>1953 (partial)</t>
  </si>
  <si>
    <t>A 1953 sediment placement episode extended from McGee Ave. to the south borough boundary.  Only 0.27 miles of the project area do not overlap other project areas.</t>
  </si>
  <si>
    <t>Ortley Beach (Toms River Twp.)</t>
  </si>
  <si>
    <t>Toms River Dune Restoration Project</t>
  </si>
  <si>
    <t>Maruca (2013), Toms River Twp. website</t>
  </si>
  <si>
    <t>Toms River Twp. placed sediment from an upland source on the beach to form artificial dunes as an interim project while awaiting construction of the proposed USACE beach erosion control project; sediment was placed only in front of properties where real estate easements had been obtained at that point in time.  Note length is approximate and based on Google Earth imagery from April 2014.</t>
  </si>
  <si>
    <t>Seaside Heights 1963 Sediment Placement</t>
  </si>
  <si>
    <t>Seaside Park 1964 Sediment Placement</t>
  </si>
  <si>
    <t>Berkeley Twp.</t>
  </si>
  <si>
    <t xml:space="preserve">In 1964 a beach fill project placed sediment from 8th to 14th Avenues in Seaside Park.  Seaside Park also received beach fill in 1963 and 1978, but the precise project locations were not available.  </t>
  </si>
  <si>
    <t>Section 3 of the Sandy Hook to Barnegat Inlet Beach Erosion Control Project has been PROPOSED from Manasquan Inlet to Island Beach State Park, including the beaches of Point Pleasant Beach, Bay Head, Mantoloking, Brick, Dover, Lavallette, Seaside Heights, Seaside Park, and Berkeley Twp.; the proposed sediment placement area extends from the jetty at Point Pleasant Beach to Island Beach SP, with a taper of approximately 825 ft. into the park. The project was not constructed prior to Hurricane Sandy.  The project was proposed again following Hurricane Sandy but construction has been delayed by real estate easement acquisition issues relating to dune construction as part of the project.  Only 11.04 miles of the project area do not overlap other project areas.</t>
  </si>
  <si>
    <t>Lavallette 2013 Artificial Dune</t>
  </si>
  <si>
    <t>Island Beach SP 1955 Sediment Placement</t>
  </si>
  <si>
    <t>1955 epsode was dune construction and beach fill extending for 2,500 ft starting 3,500 ft north of the inlet; 1962 episode followed Ash Wednesday Storm and placed fill in front of Ocean House and the Park Administration Building but the precise placement area was not available.</t>
  </si>
  <si>
    <t>Barnegat Light 1962 Sediment Placement</t>
  </si>
  <si>
    <t>Barnegat Light 1979 Sediment Placement</t>
  </si>
  <si>
    <t>Farrell et al. (1989)</t>
  </si>
  <si>
    <t xml:space="preserve">1962 episode followed Ash Wednesday Storm along 8,475 ft of beach and reconstructed dune from 20th to 30th St.; 1979 episode used 1.0 mcy dredged from Barnegat Inlet placed on beaches south of 20th St (~3,383 ft).  Barnegat Light also received fill in 1963, 1966, 1979 and 1991 but precise project locations for those episodes were not available.   </t>
  </si>
  <si>
    <t>Loveladies</t>
  </si>
  <si>
    <t>USFWS (2005), USACE (1999b, 2013b, 2014h), PSDS (2016), USACE Philadelphia District website</t>
  </si>
  <si>
    <t>The federal Barnegat Inlet to Little Egg Inlet: Long Beach Island (Loveladies to Holgate) beach fill project is authorized along 20 miles of Long Beach Island. Only sections of the federal project were constructed prior to Hurricane Sandy, in Harvey Cedars, Brant Beach, Surf City and part of Ship Bottom. Several areas within the authorized federal project area have received local and state fill placements since the 1950s. After Hurricane Sandy, this section of the federal project area in the Loveladies section of Long Beach Township received beach fill in 2015-2016.</t>
  </si>
  <si>
    <t>Loveladies 1962 Sediment Placement</t>
  </si>
  <si>
    <t>1979 (see other project listings)</t>
  </si>
  <si>
    <t xml:space="preserve">Several sections of Long Beach Twp. have received beach fill since 1956.  In 1962 a federal emergency beach fill was placed along 4,200 ft of beach in Loveladies startng at the northern boundary of Harvey Cedars.  Loveladies is within the authorized project boundaries for the federal Barnegat Inlet to Little Egg Inlet:  Long Beach Island project area, which initiated construction in 2015-16.  </t>
  </si>
  <si>
    <t>USACE (1999b, 2013b), USFWS (2005), PSDS (2016), USACE Philadelphia District website</t>
  </si>
  <si>
    <t>1962, 1978, 1992</t>
  </si>
  <si>
    <t>Barnegat Inlet to Little Egg Inlet:  Long Beach Island - Loveladies</t>
  </si>
  <si>
    <t>USACE (1999b, 2013b, 2014h), NMFS (2014), PSDS (2016), USACE Philadelphia District website</t>
  </si>
  <si>
    <t>The federal Barnegat Inlet to Little Egg Inlet: Long Beach Island - Harvey Cedars project was initially constructed using 3 mcy of fill from 86th St. to 500 ft south of Bergen Ave. in 2009-2010. Historically Harvey Cedars has received several beach fills dating to 1954, with 16 episodes using dredged and upland sources prior to construction of the federal project in 2009-10. Individual episodes include 73rd to 85th St., 76th to 80th St., 85th St. to two blocks into Loveladies; Burlington to Sussex Avenues, and Burlington to Mercer Avenues. In 1962 a federal emergency project constructed 9,000 ft of dune following the Ash Wednesday Storm. Following Hurricane Sandy, ~840,000 cy of sediment was placed on the beach in 2013.</t>
  </si>
  <si>
    <t>Harvey Cedars 1966 Sediment Placement</t>
  </si>
  <si>
    <t>1966 (see other project listings)</t>
  </si>
  <si>
    <t>1954 (partial)</t>
  </si>
  <si>
    <t>15 episodes to 1995 (partial areas), 2009-10, 2013</t>
  </si>
  <si>
    <t>Individual sediment placement episodes in Harvey Cedars include 73rd to 85th St., Burlington Ave. to Sussex Ave., 76th to 80th St., Burlington to Mercer Ave., 76th to 87th St., Sussex to Bergen Ave., and 85th St. to 2 blocks into Loveladies; one 1962 federal episode constructed 9,000 ft of dune in response to Ash Wednesday Storm; 1994-95 state project was upland source</t>
  </si>
  <si>
    <t>Harvey Cedars 2009-10 Sediment Placement</t>
  </si>
  <si>
    <t>2009-10, (see other project listings)</t>
  </si>
  <si>
    <t>USACE (1999b, 2013b, 2014h), NMFS (2014), PSDS (2016)</t>
  </si>
  <si>
    <t>The federal Barnegat Inlet to Little Egg Inlet: Long Beach Island - Harvey Cedars project was initially constructed using 3 mcy of fill from 86th St. to 500 ft south of Bergen Ave. Historically Harvey Cedars has received several beach fills dating to 1954, with 16 episodes using dredged and upland sources prior to construction of the federal project in 2009-10. After Hurricane Sandy, the federal project received sediment placement as an FCCE project that extended slightly farther south than the initial 2009-10 placement area.</t>
  </si>
  <si>
    <t>North Beach 1963 Sediment Placement</t>
  </si>
  <si>
    <t>North Beach</t>
  </si>
  <si>
    <t xml:space="preserve">Several sections of Long Beach Twp. have received beach fill since 1956. In 1963 a federal emergency beach fill was placed along 3,700 ft of North Beach startng at the southern boundary of Harvey Cedars. </t>
  </si>
  <si>
    <t>Barnegat Inlet to Little Egg Inlet:  Long Beach Island - North Beach</t>
  </si>
  <si>
    <t>USACE (2014h, 2016), USACE Philadelphia District unpublished data</t>
  </si>
  <si>
    <t>The federal Barnegat Inlet to Little Egg Inlet: Long Beach Island (Loveladies to Holgate) beach fill project is authorized along 20 miles of Long Beach Island. Only sections of the federal project were constructed prior to Hurricane Sandy, in Harvey Cedars, Brant Beach, Surf City and part of Ship Bottom.  After Hurricane Sandy, the federal beach fill project placed sediment along the North Beach section of Long Beach Township in 2015-2016.</t>
  </si>
  <si>
    <t>Surf City &amp; Ship Bottom</t>
  </si>
  <si>
    <t>Barnegat Inlet to Little Egg Inlet:  Long Beach Island - Surf City</t>
  </si>
  <si>
    <t>USACE (1999b, 2013b, 2014h, 2016), NMFS (2014)</t>
  </si>
  <si>
    <t>Barnegat Inlet to Little Egg Inlet:  Long Beach Island - Surf City &amp; Ship Bottom Section</t>
  </si>
  <si>
    <t>1963 (2x), 2006-07, 2011, 2013</t>
  </si>
  <si>
    <t>Second 1963 episode was South 3rd St. to North 25th St., or the entire town's beachfront.  886,000 cy of fill in 2006-07 project from North 25th St. in Surf City to South 5th St. in Ship Bottom; 2011 episode was federal FCCE repair for North 25th to North 10th St. in Ship Bottom.  After Hurricane Sandy, the 2013 sediment placement episode stopped at the Surf City - Ship Bottom boundary.</t>
  </si>
  <si>
    <t>Ship Bottom 1963 Sediment Placement</t>
  </si>
  <si>
    <t>The federal Barnegat Inlet to Little Egg Inlet: Long Beach Island (Loveladies to Holgate) beach fill project is authorized along 20 miles of Long Beach Island. Only sections of the federal project were constructed prior to Hurricane Sandy, in Harvey Cedars, Brant Beach, Surf City and the northern part of Ship Bottom. Several areas within the authorized federal project area have received local and state fill placements since the 1950s.  In 1963 a beach fill project extended from 3rd to 31st Streets in Ship Bottom; a previous episode in 1956 extended from 17th to 31st Streets.  After Hurricane Sandy, this section of the project area in Ship Bottom received beach fill in 2015-2016.</t>
  </si>
  <si>
    <t>1956, 1962, 1963, 2015-16</t>
  </si>
  <si>
    <t>Barnegat Inlet to Little Egg Inlet:  Long Beach Island - Ship Bottom</t>
  </si>
  <si>
    <t>Barnegat Inlet to Little Egg Inlet:  Long Beach Island - Northern Brant Beach</t>
  </si>
  <si>
    <t>USACE (2013b, 2014h), NMFS (2014), USACE Philadelphia District website</t>
  </si>
  <si>
    <t>The federal Barnegat Inlet to Little Egg Inlet: Long Beach Island - Brant Beach section of Long Beach Twp. was initially constructed in 2011-12 with 1.2 mcy of fill from 32nd to 57th Streets. Following Hurricane Sandy, a FCCE project placed ~880,000 cy of fill along the entire project section in 2013, from 31st St. to Selfridge Ave.</t>
  </si>
  <si>
    <t>Brant Beach 1962 Sediment Placement</t>
  </si>
  <si>
    <t>1961 episode from 61st to 66th St., 1962 episode along 3,250 ft of beach from 57th (Burrell) to 69th (Stockton) St.; second 1962 project was federal emergency in response to Ash Wednesday Strom to repair and replace 27,135 ft of dune; 1997 state project was upland source</t>
  </si>
  <si>
    <t>Brant Beach, Long Beach Twp. &amp; Beach Haven</t>
  </si>
  <si>
    <t>Barnegat Inlet to Little Egg Inlet:  Long Beach Island - Long Beach Twp. &amp; Beach Haven</t>
  </si>
  <si>
    <t>The federal Barnegat Inlet to Little Egg Inlet: Long Beach Island (Loveladies to Holgate) beach fill project is authorized along 20 miles of Long Beach Island. Only sections of the federal project were constructed prior to Hurricane Sandy, in Harvey Cedars, northern Brant Beach, Surf City and the northern part of Ship Bottom. Several areas within the authorized federal project area have received local and state fill placements since the 1950s. The Brant Beach section of Long Beach Twp. received fill in 1961 (61st - 66th St.) and 1962 (57th - 69th St.). Emergency dunes were built in 1962 as well along 27,135 ft of beach in Long Beach Township. A state fill episode in 1997 used an upland source.  Nearly 10,000 ft of beach in Beach Haven received beach fill in 1962 and 1963. After Hurricane Sandy, this section of the project area in the remaining portion of Brant Beach, remaining sections of Long Beach Township (including Holgate), and Beach Haven received beach fill in 2015-2016.  This section is referred to as Areas 4, 5 and 6 by the USACE.</t>
  </si>
  <si>
    <t>1979, 2007, 2015-16</t>
  </si>
  <si>
    <t>Beach Haven 1963 Sediment Placement</t>
  </si>
  <si>
    <t>Merrivale Ave. 2010 Geotube Revetment Project</t>
  </si>
  <si>
    <t>NJ DEP (2010)</t>
  </si>
  <si>
    <t xml:space="preserve">2000 cy of fill was placed on the beach in Beach Haven to cover a geotube revetment constructed by NJDEP and the Borough of Beach Haven in May-July 2010.  Project cost $471,999.50 split 75% state, 25% municipal.  Borough responsible for future maintenance.  </t>
  </si>
  <si>
    <t>emergency fill in response to Ash Wednesday Storm, a federal-state-municipal project.  Precise project location was not available but assumed to be within the Holgate Unit of the Edwin B. Forsythe NWR.</t>
  </si>
  <si>
    <t>Holgate 1962 Sediment Placement</t>
  </si>
  <si>
    <t>Atlantic</t>
  </si>
  <si>
    <t>1963, 1966, 1999, 2001, 2006, 2013 (2x)</t>
  </si>
  <si>
    <t>Federal emergency response project in 1963 extended along 17,952 ft of beach; Federal shore protection project began 2006 along 9,504 ft of beach from 19th Street South to the northern borough boundary plus an 800 ft taper into the Brigantine Natural Area with fill mined from Brigantine Inlet.  Received fill twice in 2013 after Hurricane Sandy.</t>
  </si>
  <si>
    <t>Brigantine</t>
  </si>
  <si>
    <t>Absecon Inlet - Brigantine 2007 Sediment Placement</t>
  </si>
  <si>
    <t>Nov. 2012</t>
  </si>
  <si>
    <t>A row of truck-hauled sediment has been recently placed on the beach in November 3, 2012, imagery immediately following Hurricane Sandy. The material is most likely overwash sediment removed from developed areas and placed on the beach.</t>
  </si>
  <si>
    <t>Brigantine - Absecon Inlet 2012 Sediment Placement</t>
  </si>
  <si>
    <t>The state and/or City of Brigantine dredged St. George's Thorofare and placed ~60,500 cy of sediment along 1,966 ft of the Absecon Inlet shoreline of Brigantine Island</t>
  </si>
  <si>
    <t>Atlantic City &amp; Ventnor City</t>
  </si>
  <si>
    <t>19 episodes through 2011, 2012, 2013</t>
  </si>
  <si>
    <t>Farrell et al. (1989), Pilkey and Clayton (1989), USFWS (2005), Campbell and Benedet (2006), NMFS (2014), PSDS (2016), USACE Philadelphia District website</t>
  </si>
  <si>
    <t>Brigantine Inlet to Great Egg Harbor Inlet Project:  Absecon Island - Atlantic City &amp; Ventnor City</t>
  </si>
  <si>
    <t>Margate &amp; Longport</t>
  </si>
  <si>
    <t>Brigantine Inlet to Great Egg Harbor Inlet Project:  Absecon Island - Margate &amp; Longport</t>
  </si>
  <si>
    <t>The federal Brigantine Inlet to Great Egg Harbor Inlet:  Absecon Island project area from Margate to Longport was proposed but was not constructed prior to Hurricane Sandy.  After Hurricane Sandy, the USACE was funded to construct the project but construction has not been initiated due to legal challenges by the City of Margate regarding real estate acquisition issues for the dune portion of the project design.</t>
  </si>
  <si>
    <t>USFWS (2005), NMFS (2014), USACE Philadelphia District websit</t>
  </si>
  <si>
    <t>Longport 1990 Dredged Material Placement</t>
  </si>
  <si>
    <t>federal dredge material placement along an unknown length of beach and location</t>
  </si>
  <si>
    <t>Cape May</t>
  </si>
  <si>
    <t>Great Egg Harbor and Peck Beach Project:  Ocean City (North)</t>
  </si>
  <si>
    <t>Federal shore projection project initially constructed 1991-93 extending from Seaview Rd. to 34th St. plus 1,000 ft taper south of 34th St.; 1995 state/local episode was 10,560 ft of beach; 1995 federal episode was along 24,816 ft of beach; federal project uses material mined from Great Egg Harbor Inlet.  After Hurricane Sandy, FCCE repairs (800,000 cy) were conducted in conjunction with previously a scheduled periodic nourishment (1 mcy) in early 2013.  The 7th periodic nourishment episode was constructed in 2015, with an additional 1 mcy of sediment mined from the inlet placed on the beach.  In addition, immediately after Hurricane Sandy in October 2012, overwash material was removed from developed areas and placed on the beach at 38th and 49th Streets.</t>
  </si>
  <si>
    <t>34 episodes through 2010, 2012 (partial), 2013, 2015</t>
  </si>
  <si>
    <t>Great Egg Harbor Inlet to Townsends Inlet Project:  Ocean City (South)</t>
  </si>
  <si>
    <t>2016 (2x)</t>
  </si>
  <si>
    <t>USFWS (2013b), USACE Philadelphia District website</t>
  </si>
  <si>
    <t>The federal Great Egg Harbor Inlet to Townsends Inlet Project authorizes beach fill from 34th to 59th Streets in southern Ocean City plus a taper of 734 ft into Corson's Inlet State Park; the project was after Hurricane Sandy in 2015 and then received two emergency sediment placements in 2016.  The northern boundary of the project area overlaps the federal project area for north Ocean City by over 1,000 ft.</t>
  </si>
  <si>
    <t>Great Egg Inlet to Townsends Inlet:  Ludlum Island Storm Damage Reduction Project</t>
  </si>
  <si>
    <t>Strathmere &amp; Sea Isle City</t>
  </si>
  <si>
    <t>Strathmere</t>
  </si>
  <si>
    <t>Strathmere 2009 Sediment Placement, Reach 1</t>
  </si>
  <si>
    <t>In 2009 a state project placed beach fill from Seaview to Williams Avenues (Reach 1) and Webster to Polk Avenues at the municipal boundary with Sea Isle City (Reach 2) using 891,000 cy of material.  Historically portions of Strathmere received sediment in 1966, 1981, 1982, 1984, 1992 and 2001.</t>
  </si>
  <si>
    <t>Strathmere 2009 Sediment Placement, Reach 2</t>
  </si>
  <si>
    <t>Sea Isle City 2009 Sediment Placement, Reach 2</t>
  </si>
  <si>
    <t>Sea Isle City 2009 Sediment Placement, Reach 1</t>
  </si>
  <si>
    <t>Sea Isle City 1978 Sediment Placement</t>
  </si>
  <si>
    <t xml:space="preserve">In 1978 a state beach fill project placed beach fill from 73rd to 76th Streets.  Sea Isle City beaches have received beach fill in 9 state and local projects from 1962 to 2009, but precise project locations were not available for most project episodes.  </t>
  </si>
  <si>
    <t>Avalon</t>
  </si>
  <si>
    <t>Stone Harbor</t>
  </si>
  <si>
    <t>Wildwood</t>
  </si>
  <si>
    <t>Avalon 1962 Sediment Placement (North)</t>
  </si>
  <si>
    <t>Avalon 1962 Sediment Placement (South)</t>
  </si>
  <si>
    <t>Townsends Inlet to Cape May Inlet Project:  Avalon, Reach 1</t>
  </si>
  <si>
    <t>Townsends Inlet to Cape May Inlet Project:  Avalon, Reach 2</t>
  </si>
  <si>
    <t>Stauble and Tabar (2003), USFWS (2005), Hafner (2012), NMFS (2014), Borough of Avalon (2014, 2016a), Google Earth (2016), PSDS (2016)</t>
  </si>
  <si>
    <t>1987, 1990, 1992, 1993, 1995, 2001, 2003, 2006, 2009 (2x), 2011, 2013, 2015</t>
  </si>
  <si>
    <t>The federal beach fill project in Avalon received FCCE repairs in January 2013, with 302,000 cy of sediment mined from Townsend's Inlet and placed on the beach from the 8th Street jetty to 25th Street.  The full federal project area extends from the 8th Street jetty to 30th Street (Reach 1) and 76th to 80th (Reach 2) and received sediment placement in 2003, 2009 and 2011.  Portions of the federal project area also received sediment as part of a state project in 2009 and periodically has received sediment as part of a backpassing project since 2006.  The Borough of Avalon placed 700,000 cy of sediment mined from Townsend's Inlet along the shorter (2013) section of beach in the summer of 2015.</t>
  </si>
  <si>
    <t>Townsends Inlet to Cape May Inlet Project:  Avalon (2013 &amp; 2015)</t>
  </si>
  <si>
    <t>In 1962 beach fill was placed along two sections of Avalon totaling 1.47 miles as part of the federal Operation Five-High in response to the Ash Wednesday Storm of 1962.  The northern segment extended from 24th to 31st Streets.  Only 235 ft of the northern project area does not overlap other project areas.</t>
  </si>
  <si>
    <t xml:space="preserve">In 1962 beach fill was placed along two sections of Avalon totaling 1.47 miles as part of the federal Operation Five-High in response to the Ash Wednesday Storm of 1962.  The southern segment extended from 59th to 80th Streets.  </t>
  </si>
  <si>
    <t>2003 (partial)</t>
  </si>
  <si>
    <t>Federal storm protection project began 2003 between 8th and 30th St. (Reach 1) plus 76th to 80th St. (Reach 2); 2006 pilot project to backpass 50,000 cy from beach with "surplus" sand somewhere between 35th and 60th St to an erosional hotspot near 12th St.</t>
  </si>
  <si>
    <t>USFWS (2005), NJDEP (2009a, b), Google Earth (2016), NMFS (2014), PSDS (2016)</t>
  </si>
  <si>
    <t>Stone Harbor 2013 Sediment Placement (North)</t>
  </si>
  <si>
    <t>In 2013, the USACE constructed a FCCE project along a portion of the federal Townsends Inlet to Cape May Inlet Project - Stone Harbor. Approximately 420,000 cy of sediment was placed on the beach from 92nd to 114th Streets and then from 119th Street to the terminal groin south of 122nd Street. This work was scheduled prior to Hurricane Sandy in order to repair the beach design template following Hurricane Irene in 2011; the beach fill contract was modified to include damages from Hurricane Sandy. Construction began in late December 2012 in Avalon and finished in Stone Harbor in early 2013.</t>
  </si>
  <si>
    <t>Borough of Avalon (2014), USACE Philadelphia District website</t>
  </si>
  <si>
    <t>Stone Harbor 2013 Sediment Placement (South)</t>
  </si>
  <si>
    <t>In 2013, the USACE constructed a FCCE project along a portion of the federal Townsends Inlet to Cape May Inlet Project - Stone Harbor. Approximately 420,000 cy of sediment was placed on the beach from 92nd to 114th Streets and then from 119th Street to the terminal groin south of 122nd Street (farther south than the 2003 initial project area). This work was scheduled prior to Hurricane Sandy in order to repair the beach design template following Hurricane Irene in 2011; the beach fill contract was modified to include damages from Hurricane Sandy. Construction began in late December 2012 in Avalon and finished in Stone Harbor in early 2013.</t>
  </si>
  <si>
    <t>Great Channel and Lagoons/Basins Dredging Project</t>
  </si>
  <si>
    <t>In December 2015, the Borough of Stone Harbor requested modification of their existing USACE permit for dredging of Great Channel and several lagoons / basins to allow for placement of sediment greater than 90% sand on the Borough's beaches from 80th to 122nd Streets; the permit would be effective for 10 years, with sediment dewatered, screened and then hauled by truck to the beach.  Up to 185,250 cy of sand would be placed on the beach.  Initial sediment placement was anticipated for early 2016.</t>
  </si>
  <si>
    <t>USACE (2015c)</t>
  </si>
  <si>
    <t>Stone Harbor Point Restoration Project</t>
  </si>
  <si>
    <t>proposed federal environmental restoration project with beach fill, a dune with a geotextile core extending 700 ft south from the terminal groin plus segmented dunes for 375 ft; authorized but not constructed by 2015</t>
  </si>
  <si>
    <t>NJ Audubon website</t>
  </si>
  <si>
    <t>NJ Audubon, Conserve Wildlife Foundation of NJ, and other partners constructed a restoration project at Stone Harbor Point in 2015, scraping sediment from the tip of the spit in Hereford Inlet and placing the excavated material in three raised platforms (2 oceanside and 1 bayside) to enhance bird nesting habitat.  Additional sediment placement / repairs were conducted in early 2016 to repair damage from winter storms.</t>
  </si>
  <si>
    <t>Stone Harbor Point Restoration Project (North)</t>
  </si>
  <si>
    <t>Stone Harbor Point Restoration Project (Bayside)</t>
  </si>
  <si>
    <t>Stone Harbor Point Restoration Project (South)</t>
  </si>
  <si>
    <t>NJ Audubon, Conserve Wildlife Foundation of NJ, and other partners constructed a restoration project at Stone Harbor Point in 2015, scraping sediment from the tip of the spit in Hereford Inlet and placing the excavated material in three raised platforms (2 oceanside and 1 bayside) to enhance bird nesting habitat.  Additional sediment placement / repairs were conducted in early 2016 to repair damage from winter storms.  Only 0.03 miles of this section does not overlap the other two sections.</t>
  </si>
  <si>
    <t>North Wildwood 2009 Sediment Placement</t>
  </si>
  <si>
    <t>1963 episode was a federal emergency fill; 1991 episode was federal navigation dredged material placement; precise project location(s) and length(s) were not available</t>
  </si>
  <si>
    <t>Wildwood Sediment Placement</t>
  </si>
  <si>
    <t>North Wildwood Backpassing Project</t>
  </si>
  <si>
    <t>Todd Pover, Conserve Wildlife Foundation of NJ, pers. communication, 8/1/2016</t>
  </si>
  <si>
    <t>North Wildwood backpassed approx. 150,000 cy of sediment excavated from near the stormwater outfalls in Wildwood and Wildwood Crest and placed the fill on the beach between 2nd and 7th Avenues in early 2016.</t>
  </si>
  <si>
    <t>North Wildwood to Lower Twp.</t>
  </si>
  <si>
    <t>Hereford Inlet to Cape May Inlet Shore Protection Project</t>
  </si>
  <si>
    <t>USACE (2014i, 2015a), USACE Philadelphia District website</t>
  </si>
  <si>
    <t>The USACE proposed in 2014 to excavate nearly 1.53 mcy of sediment from ~3.19 miles of intertidal zone and beach of Wildwood and Wildwood Crest and hydraulically backpass the sediment to construct 7 segments of dune from North Wildwood to the boundary of the Cape May NWR in Lower Twp.  The beach in North Wildwood would also receive beach fill.  Where dunes already exist, fill would be placed on their seaward side to shape them to the design template.  The beach in the borrow area excavation zone would be narrowed by the removal of the fill material.  Only 3.31 miles of the proposed sediment placement area does not overlap other project areas.</t>
  </si>
  <si>
    <t>Cape May Inlet to Lower Twp. Flood and Coastal Storm Damage Reduction Project</t>
  </si>
  <si>
    <t>Federal authorized project extends from jetty at Cape May Inlet to 3rd Ave. in Cape May City initially constructed in 1989 at the USCG Training Center and 1991 in Cape May City; 9th renourishment episode in 2011-12; Cape May City portion of area has received fill since 1962.  Also in 2011-12, the state backpassed sediment in part of this project area, excavating ~70,000 cy of material from between Trenton and Gurney Avenues and placing the material between Baltimore and Wilmington Avenues.  FCCE repairs placed 535,000 cy on the beach in 2013-14.  The next sediment placement episode is scheduled for fall/winter 2016-17 in conjunction with the Lower Cape May Meadows - Cape May Point project, with a total of ~735,000 cy of fill placed on the combined project areas.</t>
  </si>
  <si>
    <t>10 episodes 1991-2012, 2013-14, 2016</t>
  </si>
  <si>
    <t>Greene (2002), USFWS (2005), NMFS (2014), PSDS (2016), USACE Philadelphia District website, Todd Pover, Conserve Wildlife Foundation, pers. communication, 8/1/2016</t>
  </si>
  <si>
    <t>Federal Ecosystem Restoration Project at the TNC Cape May Meadows preserve and Cape May Point State Park initially constructed in 2004-05.  Sections of the State Park received beach fill in 1986, 1992, 2007, 2009, and 2010-11.  The second renourishment cycle of the federal restoration project placed sediment on the beach from November 2012 through January 2013.  The project was not elgible for FCCE repairs following Hurricane Sandy due to the previously scheduled renourishment episode.  The third renourishment episode is scheduled for September 2016.</t>
  </si>
  <si>
    <t>Lower Cape May Meadows - Cape May Point Shore Protection Project</t>
  </si>
  <si>
    <t>Lower Twp. &amp; Cape May Point</t>
  </si>
  <si>
    <t>1992, 2004, 2007, 2009, 2010-11, 2012-13</t>
  </si>
  <si>
    <t>Cape May Point Shore Protection Project</t>
  </si>
  <si>
    <t>1969, 1992, 1999, 2001, 2004-05, 2012-13</t>
  </si>
  <si>
    <t>USFWS (2005), PSDS (2016), USACE Philadelphia District website</t>
  </si>
  <si>
    <t>Cape May Point received beach fill in 1967, 1969, 1992, 1999 and 2001.  The 1999 episode was a federal Ecosystem Restoration / Shore Protection Project.  After Hurricane Sandy, the federal project placed sediment on the beach as part of a previously scheduled renourishment episode from November 2012 to January 2013.  The third renourishment episode is scheduled for September 2016.</t>
  </si>
  <si>
    <t>Coburn et al. (2010), NC DENR (2011), USACE (2014s)</t>
  </si>
  <si>
    <t>1977, 1984, 1986, 1988, 1992, 2003</t>
  </si>
  <si>
    <t>3 times to 1952</t>
  </si>
  <si>
    <t>The USACE pumped out Brandt Island, a dredged material placement site, to Atlantic Beach beaches in 1988 (4.168 mcy), 1995 (2.472 mcy), and 2005 (2.99 mcy); these sediment placement events modified ~3.8 miles of beach but overlap the more frequently scheduled dredged material placement at Fort Macon SP.</t>
  </si>
  <si>
    <t>NC DENR (2011), USACE (2014s), USFWS (2015a), PSDS (2016)</t>
  </si>
  <si>
    <t>2002?, 2006?, 2010?</t>
  </si>
  <si>
    <t>1998 ?</t>
  </si>
  <si>
    <t>NC DENR (2011), USACE (2014s)</t>
  </si>
  <si>
    <t>1972, 1973, 1974, 1975, 1976, 1977, 1979, 1980, 1981, 1983, 1985</t>
  </si>
  <si>
    <t>1968 ?</t>
  </si>
  <si>
    <t>2006, 2010, 2014</t>
  </si>
  <si>
    <t>Ocean Isle 2007 Sediment Placement</t>
  </si>
  <si>
    <t>The Town of Ocean Isle Beach supplemented the 2006 federal sediment placement episode in eastern Ocean Isle by placing 155,000 cy of sediment from Charlotte St to approximately 800 ft east of Asheville St in January 2007.  Since 1974 the USACE periodically places sediment dredged from the intersection of Shallotte Inlet and the Atlantic Intracoastal Waterway along this section of beach as well.  Between 2001 and 2014, between 300,000 and 400,000 cy of dredged material has been placed in this area.</t>
  </si>
  <si>
    <t>NC DENR (2011), Town of Ocean Isle Beach (2015)</t>
  </si>
  <si>
    <t>1976, 1980, 1983, 1984, 1986, 1989, 2006, 2007</t>
  </si>
  <si>
    <t>Hatteras, Frisco &amp; Buxton</t>
  </si>
  <si>
    <t>Pine Knoll Shores, Indian Beach &amp; Salter Path</t>
  </si>
  <si>
    <t>Topsail Beach &amp; Surf City</t>
  </si>
  <si>
    <t>Mason Inlet Relocation Project (South)</t>
  </si>
  <si>
    <t xml:space="preserve">The Mason Inlet Relocation Project relocated Mason Inlet in 2002, closing the old inlet position with sediment and artificially opening a new inlet to the north. </t>
  </si>
  <si>
    <t>AUTHORIZED Mason Inlet Relocation Project (south)</t>
  </si>
  <si>
    <t>Oak Island Section 933 Project (East)</t>
  </si>
  <si>
    <t>Oak Island Section 933 Project (West)</t>
  </si>
  <si>
    <t>In 2001-02 the USACE placed 1.55 mcy of sediment as part of the Wilmington Harbor Deepening Project along 25,600 ft of western Oak Island.</t>
  </si>
  <si>
    <t>SDI-5:  Ocean Isle Beach Dredged Material Placement</t>
  </si>
  <si>
    <t>Ocean Isle Beach West Beach Sediment Placement</t>
  </si>
  <si>
    <t>SDI-5:  Holden Beach Dredged Material Placement</t>
  </si>
  <si>
    <t>SDI-5:  New Hanover County Dredged Material Placement</t>
  </si>
  <si>
    <t>SDI-5:  Topsail Beach Dredged Material Placement</t>
  </si>
  <si>
    <t>SDI-5:  Emerald Isle Dredged Material Placement</t>
  </si>
  <si>
    <t>Kitty Hawk &amp; Southern Shores</t>
  </si>
  <si>
    <t>AUTHORIZED North Topsail Beach Shoreline Protection Project, Phase 5</t>
  </si>
  <si>
    <t>USACE (2015d)</t>
  </si>
  <si>
    <t>Phase 5 of the North Topsail Beach Shoreline Protection Project is authorized to place sediment aalong 20,320 ft of beach, but only 18,480 ft were constructed in 2014-2015.</t>
  </si>
  <si>
    <t>PROPOSED (including 0.93 miles of overlapping proposed project areas)</t>
  </si>
  <si>
    <t>16.27 +</t>
  </si>
  <si>
    <t>18.63 +</t>
  </si>
  <si>
    <t>Mt. Sinai</t>
  </si>
  <si>
    <t>Port Jefferson</t>
  </si>
  <si>
    <t>6.56 +</t>
  </si>
  <si>
    <t>8.50 +</t>
  </si>
  <si>
    <t>Aquebogue</t>
  </si>
  <si>
    <t>Pridwin Hotel (81 Shore Rd)</t>
  </si>
  <si>
    <t>50 Gardiners Bay Dr</t>
  </si>
  <si>
    <t>NYS DEC Permit ID 1-4732-01021/00002</t>
  </si>
  <si>
    <t>NYS DEC Permit ID 1-1-4732-00149/00006</t>
  </si>
  <si>
    <t>Private property owner repaired/replaced revetment and extended the armor south in 2013, then placed sediment as backfill</t>
  </si>
  <si>
    <t>42 Gardiners Bay Dr</t>
  </si>
  <si>
    <t>7.76 +</t>
  </si>
  <si>
    <t>9.34 +</t>
  </si>
  <si>
    <t>East Hampton 1959-60 Sediment Placement</t>
  </si>
  <si>
    <t>Wainscott &amp; Sagaponack</t>
  </si>
  <si>
    <t>279 Surfside Drive</t>
  </si>
  <si>
    <t>Shinnecock East Emergency Dune Projects</t>
  </si>
  <si>
    <t>Shinnecock Inlet Dredged Material Placement</t>
  </si>
  <si>
    <t>Suffolk County, state and federal dredging projects have placed dredged material from Shinnecock Inlet on adjacent beaches, with 3,000 ft of beach receiving fill in 1997 and 3,500 ft in 1998, but the precise locations were not available, including which side(s) of the inlet received dredged material or whether the project areas overlap other known sediment placement areas.  The 1998 episode was federal dredging of 405,000 cy that is assumed to overlap the Shinnecock West dredged material placement area.</t>
  </si>
  <si>
    <t>Southampton Operation Five-High Sediment Placement</t>
  </si>
  <si>
    <t>The USACE placed sediment along 1 mile of beach in Southampton as part of Operation Five-High after the Ash Wednesday Storm of 1962.  Precise project location was not available, including whether the project area was in the Town of Southampton or Southampton Village.  It is assumed the sediment placement was in the Village of Southampton and does not overlap any other sediment placement project areas.</t>
  </si>
  <si>
    <t>Babylon &amp; Oyster Bay</t>
  </si>
  <si>
    <t>Rockaway Park &amp; Breezy Point</t>
  </si>
  <si>
    <t>federal emergency project with 175,000 cy of fill assumed to have placed sediment entirely within Water Mill on the west side of Mecox Inlet; only 0.51 miles of the placement area does not overlap more recent project areas</t>
  </si>
  <si>
    <t>This project was previously proposed but not constructed prior to Hurricane Sandy; following Hurricane Sandy the project was modified.  The 2015 Hurricane Sandy Limited Reevaluation Report for the Jones Inlet to East Rockaway Inlet (Long Beach) Hurricane and Storm Damage Reduction Project proposed 35,000 ft of fill in three segments: 4,000 ft from Point Lookout to Hempstead (note this segment measures 5,000 ft in Google Earth), and 25,500 ft in Lido Beach and Long Beach. A 5,000 ft long section of beach in Hempstead would be designated a bird nesting and foraging area and would construct a dune only, with no beach fill.  The project includes placement of 4.72 mcy of sediment, installation of 75,000 ft of sand fencing in Long Beach, planting of 34.0 acres of dune vegetation, construction of dune walkovers and beach access pathways, rehabilitation of 17 groins, construction of 4 new groins, and rehabilitation and a 100' extension of the terminal groin at Jones Inlet in Point Lookout; contract 1 for the groin construction and rehabilitation was issued in spring 2016, with dune and beach fill placement (contract 2) anticipated for 2017; renourishment is proposed on a 5 year cycle with 1,770,000 cubic yards of fill anticipated for each renourishment episode.  Only 4.22 miles of project area does not overlap other project areas.</t>
  </si>
  <si>
    <t>Hempstead</t>
  </si>
  <si>
    <t>Hempstead &amp; Long Beach</t>
  </si>
  <si>
    <t>Far Rockaway, Arverne &amp; Rockaway Park</t>
  </si>
  <si>
    <t>The federal Great Egg Inlet to Townsends Inlet:  Ludlum Island Storm Damage Reduction Project was proposed but not constructed prior to Hurricane Sandy.  The project was constructed in 2015 after the hurricane with an anticipated sediment volume of 2,590,000 cy of fill dredged from offshore borrow areas and Corson Inlet.  The project area extends from 125 ft. north of Seaview Drive in Strathmere, plus a taper of 734 ft into the Strathmere Natural Area, to the terminal groin south of 93rd Street in Sea Isle City.  The state of NJ previously placed beach fill along 4 shorter sections of this federal project area in 2009.  Immediately following Hurricane Sandy, overwash material was removed from developed areas and placed on the beach 40th, 41st (John F. Kennedy Blvd.) and 85th Street beach access areas in Sea Isle City.  NOTE that the northernmost ~220 ft of the project area had no sandy beach present prior to the project when Google Earth June 2015 was used to delineate the sandy beach habitat.</t>
  </si>
  <si>
    <t>Long Beach Twp. (Brant Beach)</t>
  </si>
  <si>
    <t>CONSTRUCTED (excluding 0.04 miles of sediment placement area with no beach present in Strathmere in 2015)</t>
  </si>
  <si>
    <t>Lynn</t>
  </si>
  <si>
    <t>Winthrop Beach Renourishment Project (North)</t>
  </si>
  <si>
    <t>Winthrop Beach Renourishment Project (South)</t>
  </si>
  <si>
    <t>In late 2014 the MA DCR placed sediment from upland sources along the north portion of Winthrop Beach as part of the Winthrop Beach Renourishment Project. A new terminal groin was also constructed. Sediment was also placed along the southern portion of Winthrop Beach in early 2013. A total of 500,000 cy of sediment was placed in the north and south project areas.  The placement area is assumed to overlap the 1956 and 1959 sediment placement area.</t>
  </si>
  <si>
    <t>Winthrop Beach Sediment Placement</t>
  </si>
  <si>
    <t>Revere Beach Sediment Placement</t>
  </si>
  <si>
    <t>Lynn - Nahant Beach Sediment Placement</t>
  </si>
  <si>
    <t>Salisbury Beach Dredged Material Placement</t>
  </si>
  <si>
    <t>Quincy (Wollaston Beach) 1959 Sediment Placement</t>
  </si>
  <si>
    <t>Nantasket Beach</t>
  </si>
  <si>
    <t>Duxbury Beach Dune Sediment Placement</t>
  </si>
  <si>
    <t>Between 1944 and 1958 dredged material from Stage Harbor built the Morris Island spit to the southest of Chatham (Stage Harbor) Inlet; precise project length is unknown but likely was approximately 3,250 ft</t>
  </si>
  <si>
    <t>Morris Island Sediment Placement</t>
  </si>
  <si>
    <t>dredge material placement  from Saquatucket Harbor / Andrews River</t>
  </si>
  <si>
    <t>dredge material placement from Saquatucket Harbor / Andrews River</t>
  </si>
  <si>
    <t>dredge material placement from Allen Harbor</t>
  </si>
  <si>
    <t>The 401 Water Quality Certification Application for BRP WW07, Major Project Dredging at the Channel of Herring River, Allen Harbor, Wychmere Harbor, Saquatucket Harbor in Harwich / Nantucket Sound lists Patricia Lane Beach as a site that has received dredge material placement from Allen Harbor; one project permit dates from 2001</t>
  </si>
  <si>
    <t>The 401 Water Quality Certification Application for BRP WW07, Major Project Dredging at the Channel of Herring River, Allen Harbor, Wychmere Harbor, Saquatucket Harbor in Harwich / Nantucket Sound lists Brooks Road Beach as a site that has received dredge material placement from Allen Harbor; one project permit dates to 1995</t>
  </si>
  <si>
    <t>New Seabury, Masphee Sediment Placement</t>
  </si>
  <si>
    <t>Pay Beach, Oak Bluffs, Dredged Material Placement</t>
  </si>
  <si>
    <t>Oak Bluffs Town Beach, Martha's Vineyard 1973 Sediment Placement</t>
  </si>
  <si>
    <t>20.91 +</t>
  </si>
  <si>
    <t>21.86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</si>
</sst>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_(* #,##0_);_(* \(#,##0\);_(* &quot;-&quot;??_);_(@_)"/>
    <numFmt numFmtId="166" formatCode="&quot;$&quot;#,##0"/>
    <numFmt numFmtId="167" formatCode="[$$-C09]#,##0"/>
    <numFmt numFmtId="168" formatCode="0.000"/>
  </numFmts>
  <fonts count="31"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1"/>
      <name val="Calibri"/>
      <family val="2"/>
      <scheme val="minor"/>
    </font>
    <font>
      <sz val="11"/>
      <color rgb="FF0070C0"/>
      <name val="Calibri"/>
      <family val="2"/>
      <scheme val="minor"/>
    </font>
    <font>
      <sz val="11"/>
      <color rgb="FF7030A0"/>
      <name val="Calibri"/>
      <family val="2"/>
      <scheme val="minor"/>
    </font>
    <font>
      <i/>
      <sz val="11"/>
      <color theme="1"/>
      <name val="Calibri"/>
      <family val="2"/>
      <scheme val="minor"/>
    </font>
    <font>
      <i/>
      <sz val="11"/>
      <color rgb="FF7030A0"/>
      <name val="Calibri"/>
      <family val="2"/>
      <scheme val="minor"/>
    </font>
    <font>
      <i/>
      <sz val="11"/>
      <name val="Calibri"/>
      <family val="2"/>
      <scheme val="minor"/>
    </font>
    <font>
      <sz val="11"/>
      <color rgb="FF000000"/>
      <name val="Calibri"/>
      <family val="2"/>
      <scheme val="minor"/>
    </font>
    <font>
      <b/>
      <i/>
      <sz val="11"/>
      <name val="Calibri"/>
      <family val="2"/>
      <scheme val="minor"/>
    </font>
    <font>
      <b/>
      <u/>
      <sz val="11"/>
      <color theme="1"/>
      <name val="Calibri"/>
      <family val="2"/>
      <scheme val="minor"/>
    </font>
    <font>
      <b/>
      <sz val="11"/>
      <color rgb="FFFF0000"/>
      <name val="Calibri"/>
      <family val="2"/>
      <scheme val="minor"/>
    </font>
    <font>
      <sz val="8"/>
      <name val="Arial"/>
      <family val="2"/>
    </font>
    <font>
      <i/>
      <sz val="8"/>
      <name val="Arial"/>
      <family val="2"/>
    </font>
    <font>
      <b/>
      <u/>
      <sz val="8"/>
      <name val="Arial"/>
      <family val="2"/>
    </font>
    <font>
      <sz val="8"/>
      <color indexed="43"/>
      <name val="Arial"/>
      <family val="2"/>
    </font>
    <font>
      <b/>
      <sz val="8"/>
      <color indexed="43"/>
      <name val="Arial"/>
      <family val="2"/>
    </font>
    <font>
      <u/>
      <sz val="10"/>
      <color indexed="12"/>
      <name val="Arial"/>
      <family val="2"/>
    </font>
    <font>
      <sz val="11"/>
      <color indexed="8"/>
      <name val="Calibri"/>
      <family val="2"/>
      <scheme val="minor"/>
    </font>
    <font>
      <sz val="8"/>
      <color indexed="8"/>
      <name val="Arial"/>
      <family val="2"/>
    </font>
    <font>
      <sz val="8"/>
      <color theme="4"/>
      <name val="Arial"/>
      <family val="2"/>
    </font>
    <font>
      <b/>
      <sz val="10"/>
      <color indexed="26"/>
      <name val="Arial"/>
      <family val="2"/>
    </font>
    <font>
      <sz val="10"/>
      <color theme="4"/>
      <name val="Arial"/>
      <family val="2"/>
    </font>
    <font>
      <sz val="10"/>
      <color indexed="8"/>
      <name val="Arial"/>
      <family val="2"/>
    </font>
    <font>
      <sz val="10"/>
      <color theme="5"/>
      <name val="Arial"/>
      <family val="2"/>
    </font>
    <font>
      <sz val="10"/>
      <name val="Arial"/>
      <family val="2"/>
    </font>
    <font>
      <sz val="10"/>
      <color indexed="43"/>
      <name val="Arial"/>
      <family val="2"/>
    </font>
    <font>
      <b/>
      <sz val="10"/>
      <color indexed="43"/>
      <name val="Arial"/>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4">
    <xf numFmtId="0" fontId="0" fillId="0" borderId="0"/>
    <xf numFmtId="9" fontId="5" fillId="0" borderId="0" applyFont="0" applyFill="0" applyBorder="0" applyAlignment="0" applyProtection="0"/>
    <xf numFmtId="43" fontId="5" fillId="0" borderId="0" applyFont="0" applyFill="0" applyBorder="0" applyAlignment="0" applyProtection="0"/>
    <xf numFmtId="0" fontId="20" fillId="0" borderId="0" applyNumberFormat="0" applyFill="0" applyBorder="0" applyAlignment="0" applyProtection="0">
      <alignment vertical="top"/>
      <protection locked="0"/>
    </xf>
  </cellStyleXfs>
  <cellXfs count="365">
    <xf numFmtId="0" fontId="0" fillId="0" borderId="0" xfId="0"/>
    <xf numFmtId="0" fontId="2" fillId="0" borderId="0" xfId="0" applyFont="1" applyAlignment="1">
      <alignment horizontal="center" wrapText="1"/>
    </xf>
    <xf numFmtId="0" fontId="0" fillId="0" borderId="0" xfId="0" applyAlignment="1">
      <alignment horizontal="center"/>
    </xf>
    <xf numFmtId="0" fontId="1" fillId="0" borderId="0" xfId="0" applyFont="1"/>
    <xf numFmtId="164" fontId="0" fillId="0" borderId="0" xfId="0" applyNumberFormat="1" applyAlignment="1">
      <alignment horizontal="center"/>
    </xf>
    <xf numFmtId="0" fontId="2" fillId="0" borderId="0" xfId="0" applyFont="1" applyAlignment="1">
      <alignment horizontal="right"/>
    </xf>
    <xf numFmtId="164" fontId="2" fillId="0" borderId="0" xfId="0" applyNumberFormat="1" applyFont="1" applyAlignment="1">
      <alignment horizontal="center"/>
    </xf>
    <xf numFmtId="0" fontId="2" fillId="0" borderId="0" xfId="0" applyFont="1" applyAlignment="1">
      <alignment horizontal="center"/>
    </xf>
    <xf numFmtId="0" fontId="0" fillId="0" borderId="0" xfId="0" applyAlignment="1">
      <alignment horizontal="left"/>
    </xf>
    <xf numFmtId="0" fontId="0" fillId="0" borderId="0" xfId="0" applyFont="1" applyAlignment="1">
      <alignment horizontal="left" wrapText="1"/>
    </xf>
    <xf numFmtId="0" fontId="0" fillId="0" borderId="0" xfId="0" applyFill="1" applyAlignment="1">
      <alignment horizontal="center"/>
    </xf>
    <xf numFmtId="0" fontId="0" fillId="0" borderId="0" xfId="0" applyFill="1"/>
    <xf numFmtId="0" fontId="3" fillId="0" borderId="0" xfId="0" applyFont="1"/>
    <xf numFmtId="0" fontId="1" fillId="0" borderId="0" xfId="0" applyFont="1" applyAlignment="1">
      <alignment horizontal="center"/>
    </xf>
    <xf numFmtId="0" fontId="2" fillId="0" borderId="0" xfId="0" applyFont="1"/>
    <xf numFmtId="0" fontId="0" fillId="0" borderId="0" xfId="0" applyFont="1" applyAlignment="1">
      <alignment horizontal="center" wrapText="1"/>
    </xf>
    <xf numFmtId="3" fontId="0" fillId="0" borderId="0" xfId="0" applyNumberFormat="1" applyAlignment="1">
      <alignment horizontal="center"/>
    </xf>
    <xf numFmtId="0" fontId="6" fillId="0" borderId="0" xfId="0" applyFont="1"/>
    <xf numFmtId="2" fontId="0" fillId="0" borderId="0" xfId="0" applyNumberFormat="1" applyFill="1" applyAlignment="1">
      <alignment horizontal="center"/>
    </xf>
    <xf numFmtId="2" fontId="8" fillId="0" borderId="0" xfId="0" applyNumberFormat="1" applyFont="1" applyFill="1" applyAlignment="1">
      <alignment horizontal="center"/>
    </xf>
    <xf numFmtId="0" fontId="7" fillId="0" borderId="0" xfId="0" applyFont="1" applyFill="1"/>
    <xf numFmtId="0" fontId="7" fillId="0" borderId="0" xfId="0" applyFont="1" applyFill="1" applyAlignment="1">
      <alignment horizontal="left"/>
    </xf>
    <xf numFmtId="0" fontId="7" fillId="0" borderId="0" xfId="0" applyFont="1" applyFill="1" applyAlignment="1">
      <alignment horizontal="center"/>
    </xf>
    <xf numFmtId="2" fontId="0" fillId="0" borderId="0" xfId="0" applyNumberFormat="1" applyFill="1" applyAlignment="1">
      <alignment horizontal="left"/>
    </xf>
    <xf numFmtId="2" fontId="0" fillId="0" borderId="0" xfId="0" applyNumberFormat="1" applyFont="1" applyFill="1" applyAlignment="1">
      <alignment horizontal="center"/>
    </xf>
    <xf numFmtId="0" fontId="4" fillId="0" borderId="0" xfId="0" applyFont="1" applyAlignment="1">
      <alignment horizontal="right"/>
    </xf>
    <xf numFmtId="2" fontId="2" fillId="0" borderId="0" xfId="0" applyNumberFormat="1" applyFont="1" applyFill="1" applyAlignment="1">
      <alignment horizontal="center"/>
    </xf>
    <xf numFmtId="2" fontId="3" fillId="0" borderId="0" xfId="0" applyNumberFormat="1" applyFont="1" applyFill="1" applyAlignment="1">
      <alignment horizontal="center"/>
    </xf>
    <xf numFmtId="2" fontId="10" fillId="0" borderId="0" xfId="0" applyNumberFormat="1" applyFont="1" applyFill="1" applyAlignment="1">
      <alignment horizontal="center"/>
    </xf>
    <xf numFmtId="1" fontId="0" fillId="0" borderId="0" xfId="0" applyNumberFormat="1" applyFill="1"/>
    <xf numFmtId="1" fontId="7" fillId="0" borderId="0" xfId="0" applyNumberFormat="1" applyFont="1" applyFill="1"/>
    <xf numFmtId="1" fontId="0" fillId="0" borderId="0" xfId="0" applyNumberFormat="1" applyFill="1" applyAlignment="1">
      <alignment horizontal="center"/>
    </xf>
    <xf numFmtId="0" fontId="0" fillId="0" borderId="0" xfId="0" applyFont="1" applyFill="1"/>
    <xf numFmtId="0" fontId="0" fillId="0" borderId="0" xfId="0" applyAlignment="1">
      <alignment horizontal="left" wrapText="1"/>
    </xf>
    <xf numFmtId="0" fontId="0" fillId="0" borderId="0" xfId="0" applyAlignment="1">
      <alignment wrapText="1"/>
    </xf>
    <xf numFmtId="0" fontId="1" fillId="0" borderId="0" xfId="0" applyFont="1" applyAlignment="1">
      <alignment wrapText="1"/>
    </xf>
    <xf numFmtId="0" fontId="3" fillId="0" borderId="0" xfId="0" applyFont="1" applyAlignment="1">
      <alignment wrapText="1"/>
    </xf>
    <xf numFmtId="0" fontId="1" fillId="0" borderId="0" xfId="0" applyFont="1" applyAlignment="1">
      <alignment horizontal="left" wrapText="1"/>
    </xf>
    <xf numFmtId="0" fontId="0" fillId="0" borderId="0" xfId="0" applyAlignment="1">
      <alignment horizontal="center" wrapText="1"/>
    </xf>
    <xf numFmtId="0" fontId="1" fillId="0" borderId="0" xfId="0" applyFont="1" applyAlignment="1">
      <alignment horizontal="center" wrapText="1"/>
    </xf>
    <xf numFmtId="1" fontId="2" fillId="0" borderId="0" xfId="0" applyNumberFormat="1" applyFont="1" applyFill="1"/>
    <xf numFmtId="1" fontId="8" fillId="0" borderId="0" xfId="0" applyNumberFormat="1" applyFont="1" applyFill="1"/>
    <xf numFmtId="1" fontId="0" fillId="0" borderId="0" xfId="0" applyNumberFormat="1" applyFont="1" applyFill="1"/>
    <xf numFmtId="1" fontId="3" fillId="0" borderId="0" xfId="0" applyNumberFormat="1" applyFont="1" applyFill="1"/>
    <xf numFmtId="1" fontId="10" fillId="0" borderId="0" xfId="0" applyNumberFormat="1" applyFont="1" applyFill="1"/>
    <xf numFmtId="1" fontId="9" fillId="0" borderId="0" xfId="0" applyNumberFormat="1" applyFont="1" applyFill="1"/>
    <xf numFmtId="1" fontId="3" fillId="0" borderId="0" xfId="0" applyNumberFormat="1" applyFont="1" applyFill="1" applyAlignment="1">
      <alignment horizontal="center"/>
    </xf>
    <xf numFmtId="9" fontId="0" fillId="0" borderId="0" xfId="1" applyFont="1" applyFill="1"/>
    <xf numFmtId="0" fontId="2" fillId="0" borderId="0" xfId="0" applyFont="1" applyFill="1" applyAlignment="1">
      <alignment horizontal="center" wrapText="1"/>
    </xf>
    <xf numFmtId="1" fontId="0" fillId="0" borderId="0" xfId="0" applyNumberFormat="1" applyFont="1" applyFill="1" applyAlignment="1">
      <alignment horizontal="center" wrapText="1"/>
    </xf>
    <xf numFmtId="1" fontId="0" fillId="0" borderId="0" xfId="0" applyNumberFormat="1" applyFont="1" applyFill="1" applyAlignment="1">
      <alignment horizontal="center"/>
    </xf>
    <xf numFmtId="1" fontId="0" fillId="0" borderId="0" xfId="0" applyNumberFormat="1" applyFont="1" applyFill="1" applyAlignment="1">
      <alignment wrapText="1"/>
    </xf>
    <xf numFmtId="1" fontId="0" fillId="0" borderId="0" xfId="0" applyNumberFormat="1" applyFill="1" applyAlignment="1">
      <alignment wrapText="1"/>
    </xf>
    <xf numFmtId="1" fontId="8" fillId="0" borderId="0" xfId="0" applyNumberFormat="1" applyFont="1" applyFill="1" applyAlignment="1">
      <alignment wrapText="1"/>
    </xf>
    <xf numFmtId="1" fontId="3" fillId="0" borderId="0" xfId="0" applyNumberFormat="1" applyFont="1" applyFill="1" applyAlignment="1">
      <alignment wrapText="1"/>
    </xf>
    <xf numFmtId="1" fontId="7" fillId="0" borderId="0" xfId="0" applyNumberFormat="1" applyFont="1" applyFill="1" applyAlignment="1">
      <alignment wrapText="1"/>
    </xf>
    <xf numFmtId="0" fontId="7" fillId="0" borderId="0" xfId="0" applyFont="1" applyFill="1" applyAlignment="1">
      <alignment horizontal="left" wrapText="1"/>
    </xf>
    <xf numFmtId="0" fontId="0" fillId="0" borderId="0" xfId="0" applyFill="1" applyAlignment="1">
      <alignment wrapText="1"/>
    </xf>
    <xf numFmtId="0" fontId="7" fillId="0" borderId="0" xfId="0" applyFont="1" applyFill="1" applyAlignment="1">
      <alignment horizontal="center" wrapText="1"/>
    </xf>
    <xf numFmtId="0" fontId="4" fillId="0" borderId="0" xfId="0" applyFont="1" applyFill="1" applyAlignment="1">
      <alignment horizontal="right" wrapText="1"/>
    </xf>
    <xf numFmtId="0" fontId="3" fillId="0" borderId="0" xfId="0" applyFont="1" applyFill="1"/>
    <xf numFmtId="0" fontId="4" fillId="0" borderId="0" xfId="0" applyFont="1" applyAlignment="1">
      <alignment horizontal="center" wrapText="1"/>
    </xf>
    <xf numFmtId="0" fontId="3" fillId="0" borderId="0" xfId="0" applyFont="1" applyFill="1" applyAlignment="1">
      <alignment horizontal="center"/>
    </xf>
    <xf numFmtId="1" fontId="3" fillId="0" borderId="0" xfId="0" applyNumberFormat="1" applyFont="1" applyFill="1" applyAlignment="1">
      <alignment horizontal="center" wrapText="1"/>
    </xf>
    <xf numFmtId="1" fontId="4" fillId="0" borderId="0" xfId="0" applyNumberFormat="1" applyFont="1" applyFill="1"/>
    <xf numFmtId="2" fontId="4" fillId="0" borderId="0" xfId="0" applyNumberFormat="1" applyFont="1" applyFill="1" applyAlignment="1">
      <alignment horizontal="center"/>
    </xf>
    <xf numFmtId="9" fontId="3" fillId="0" borderId="0" xfId="1" applyFont="1" applyFill="1"/>
    <xf numFmtId="0" fontId="3" fillId="0" borderId="0" xfId="0" applyFont="1" applyAlignment="1">
      <alignment horizontal="center"/>
    </xf>
    <xf numFmtId="164" fontId="3" fillId="0" borderId="0" xfId="0" applyNumberFormat="1" applyFont="1" applyAlignment="1">
      <alignment horizontal="center"/>
    </xf>
    <xf numFmtId="164" fontId="3" fillId="0" borderId="0" xfId="0" applyNumberFormat="1" applyFont="1" applyFill="1" applyAlignment="1">
      <alignment horizontal="center"/>
    </xf>
    <xf numFmtId="0" fontId="2" fillId="0" borderId="0" xfId="0" applyFont="1" applyAlignment="1">
      <alignment wrapText="1"/>
    </xf>
    <xf numFmtId="0" fontId="0" fillId="0" borderId="0" xfId="0" applyFont="1" applyAlignment="1">
      <alignment horizontal="center"/>
    </xf>
    <xf numFmtId="2" fontId="0" fillId="0" borderId="0" xfId="0" applyNumberFormat="1" applyAlignment="1">
      <alignment horizontal="center"/>
    </xf>
    <xf numFmtId="2" fontId="2" fillId="0" borderId="0" xfId="0" applyNumberFormat="1" applyFont="1" applyAlignment="1">
      <alignment horizontal="center"/>
    </xf>
    <xf numFmtId="0" fontId="3" fillId="0" borderId="0" xfId="0" applyFont="1" applyAlignment="1">
      <alignment horizontal="center" wrapText="1"/>
    </xf>
    <xf numFmtId="0" fontId="3" fillId="0" borderId="0" xfId="0" applyFont="1" applyAlignment="1">
      <alignment horizontal="left" wrapText="1"/>
    </xf>
    <xf numFmtId="9" fontId="0" fillId="0" borderId="0" xfId="1" applyFont="1" applyAlignment="1">
      <alignment horizontal="center"/>
    </xf>
    <xf numFmtId="0" fontId="0" fillId="0" borderId="0" xfId="0" applyFont="1" applyFill="1" applyAlignment="1">
      <alignment horizontal="left" wrapText="1"/>
    </xf>
    <xf numFmtId="0" fontId="0" fillId="0" borderId="0" xfId="0" applyFont="1" applyFill="1" applyAlignment="1">
      <alignment horizontal="left"/>
    </xf>
    <xf numFmtId="0" fontId="1" fillId="0" borderId="0" xfId="0" applyFont="1" applyFill="1" applyAlignment="1">
      <alignment horizontal="left" wrapText="1"/>
    </xf>
    <xf numFmtId="2" fontId="1" fillId="0" borderId="0" xfId="0" applyNumberFormat="1" applyFont="1" applyFill="1" applyAlignment="1">
      <alignment horizontal="left"/>
    </xf>
    <xf numFmtId="1" fontId="1" fillId="0" borderId="0" xfId="0" applyNumberFormat="1" applyFont="1" applyFill="1" applyAlignment="1">
      <alignment wrapText="1"/>
    </xf>
    <xf numFmtId="0" fontId="3" fillId="0" borderId="0" xfId="0" applyFont="1" applyFill="1" applyAlignment="1">
      <alignment horizontal="left" wrapText="1"/>
    </xf>
    <xf numFmtId="0" fontId="3" fillId="0" borderId="0" xfId="0" applyFont="1" applyFill="1" applyAlignment="1">
      <alignment wrapText="1"/>
    </xf>
    <xf numFmtId="1" fontId="10" fillId="0" borderId="0" xfId="0" applyNumberFormat="1" applyFont="1" applyFill="1" applyAlignment="1">
      <alignment wrapText="1"/>
    </xf>
    <xf numFmtId="0" fontId="10" fillId="0" borderId="0" xfId="0" applyFont="1" applyFill="1" applyAlignment="1">
      <alignment wrapText="1"/>
    </xf>
    <xf numFmtId="0" fontId="3" fillId="0" borderId="0" xfId="0" applyFont="1" applyFill="1" applyAlignment="1">
      <alignment horizontal="center" wrapText="1"/>
    </xf>
    <xf numFmtId="1" fontId="4" fillId="0" borderId="0" xfId="0" applyNumberFormat="1" applyFont="1" applyFill="1" applyAlignment="1">
      <alignment wrapText="1"/>
    </xf>
    <xf numFmtId="1" fontId="4" fillId="0" borderId="0" xfId="0" applyNumberFormat="1" applyFont="1" applyFill="1" applyAlignment="1">
      <alignment horizontal="right"/>
    </xf>
    <xf numFmtId="1" fontId="4" fillId="0" borderId="0" xfId="0" applyNumberFormat="1" applyFont="1" applyFill="1" applyAlignment="1">
      <alignment horizontal="center"/>
    </xf>
    <xf numFmtId="0" fontId="4" fillId="0" borderId="0" xfId="0" applyFont="1" applyFill="1"/>
    <xf numFmtId="0" fontId="4" fillId="0" borderId="0" xfId="0" applyFont="1" applyAlignment="1">
      <alignment horizontal="center"/>
    </xf>
    <xf numFmtId="0" fontId="2" fillId="0" borderId="0" xfId="0" applyFont="1" applyAlignment="1">
      <alignment horizontal="right" wrapText="1"/>
    </xf>
    <xf numFmtId="1" fontId="3" fillId="0" borderId="0" xfId="0" applyNumberFormat="1" applyFont="1" applyAlignment="1">
      <alignment horizontal="center"/>
    </xf>
    <xf numFmtId="1" fontId="2" fillId="0" borderId="0" xfId="0" applyNumberFormat="1" applyFont="1" applyAlignment="1">
      <alignment horizontal="center"/>
    </xf>
    <xf numFmtId="1" fontId="2" fillId="0" borderId="0" xfId="0" applyNumberFormat="1" applyFont="1" applyFill="1" applyAlignment="1">
      <alignment horizontal="right"/>
    </xf>
    <xf numFmtId="3" fontId="2" fillId="0" borderId="0" xfId="0" applyNumberFormat="1" applyFont="1" applyAlignment="1">
      <alignment horizontal="center"/>
    </xf>
    <xf numFmtId="0" fontId="2" fillId="0" borderId="0" xfId="0" applyFont="1" applyAlignment="1">
      <alignment horizontal="left"/>
    </xf>
    <xf numFmtId="0" fontId="4" fillId="0" borderId="0" xfId="0" applyFont="1"/>
    <xf numFmtId="0" fontId="4" fillId="0" borderId="0" xfId="0" applyFont="1" applyAlignment="1">
      <alignment wrapText="1"/>
    </xf>
    <xf numFmtId="2" fontId="4" fillId="0" borderId="0" xfId="0" applyNumberFormat="1" applyFont="1" applyAlignment="1">
      <alignment horizontal="center"/>
    </xf>
    <xf numFmtId="165" fontId="0" fillId="0" borderId="0" xfId="2" applyNumberFormat="1" applyFont="1" applyFill="1" applyAlignment="1">
      <alignment horizontal="center"/>
    </xf>
    <xf numFmtId="9" fontId="2" fillId="0" borderId="0" xfId="1" applyFont="1" applyAlignment="1">
      <alignment horizontal="center"/>
    </xf>
    <xf numFmtId="9" fontId="2" fillId="0" borderId="0" xfId="1" applyFont="1"/>
    <xf numFmtId="0" fontId="0" fillId="0" borderId="0" xfId="0"/>
    <xf numFmtId="0" fontId="0" fillId="0" borderId="0" xfId="0" applyAlignment="1">
      <alignment horizontal="center"/>
    </xf>
    <xf numFmtId="0" fontId="0" fillId="0" borderId="0" xfId="0" applyAlignment="1">
      <alignment horizontal="left" wrapText="1"/>
    </xf>
    <xf numFmtId="0" fontId="0" fillId="0" borderId="0" xfId="0" applyAlignment="1">
      <alignment wrapText="1"/>
    </xf>
    <xf numFmtId="0" fontId="0" fillId="0" borderId="0" xfId="0" applyFont="1" applyAlignment="1">
      <alignment horizontal="left" wrapText="1"/>
    </xf>
    <xf numFmtId="0" fontId="3" fillId="0" borderId="0" xfId="0" applyFont="1" applyAlignment="1">
      <alignment horizontal="center" wrapText="1"/>
    </xf>
    <xf numFmtId="0" fontId="3" fillId="0" borderId="0" xfId="0" applyFont="1" applyAlignment="1">
      <alignment horizontal="left" wrapText="1"/>
    </xf>
    <xf numFmtId="0" fontId="1" fillId="0" borderId="0" xfId="0" applyFont="1" applyAlignment="1">
      <alignment wrapText="1"/>
    </xf>
    <xf numFmtId="0" fontId="3" fillId="0" borderId="0" xfId="0" applyFont="1" applyAlignment="1">
      <alignment wrapText="1"/>
    </xf>
    <xf numFmtId="0" fontId="0" fillId="0" borderId="0" xfId="0" applyAlignment="1">
      <alignment horizontal="left"/>
    </xf>
    <xf numFmtId="0" fontId="0" fillId="0" borderId="0" xfId="0" applyFill="1" applyAlignment="1">
      <alignment horizontal="left" wrapText="1"/>
    </xf>
    <xf numFmtId="2" fontId="3" fillId="0" borderId="0" xfId="0" applyNumberFormat="1" applyFont="1" applyAlignment="1">
      <alignment horizontal="center" wrapText="1"/>
    </xf>
    <xf numFmtId="9" fontId="0" fillId="0" borderId="0" xfId="1" applyFont="1"/>
    <xf numFmtId="0" fontId="0" fillId="0" borderId="0" xfId="0" applyFont="1" applyFill="1" applyAlignment="1">
      <alignment horizontal="center" wrapText="1"/>
    </xf>
    <xf numFmtId="3" fontId="0" fillId="0" borderId="0" xfId="0" applyNumberFormat="1"/>
    <xf numFmtId="3" fontId="2" fillId="0" borderId="0" xfId="0" applyNumberFormat="1" applyFont="1"/>
    <xf numFmtId="0" fontId="3" fillId="0" borderId="0" xfId="0" applyFont="1" applyFill="1" applyAlignment="1">
      <alignment horizontal="left"/>
    </xf>
    <xf numFmtId="2" fontId="3" fillId="0" borderId="0" xfId="0" applyNumberFormat="1" applyFont="1" applyAlignment="1">
      <alignment horizontal="center"/>
    </xf>
    <xf numFmtId="0" fontId="11" fillId="0" borderId="0" xfId="0" applyFont="1" applyAlignment="1">
      <alignment wrapText="1"/>
    </xf>
    <xf numFmtId="0" fontId="2" fillId="0" borderId="0" xfId="0" applyFont="1" applyAlignment="1"/>
    <xf numFmtId="0" fontId="4" fillId="0" borderId="0" xfId="0" applyFont="1" applyAlignment="1"/>
    <xf numFmtId="0" fontId="4" fillId="0" borderId="0" xfId="0" applyFont="1" applyFill="1" applyAlignment="1"/>
    <xf numFmtId="0" fontId="13" fillId="0" borderId="0" xfId="0" applyFont="1" applyAlignment="1"/>
    <xf numFmtId="0" fontId="0" fillId="0" borderId="0" xfId="0" applyFont="1" applyAlignment="1">
      <alignment wrapText="1"/>
    </xf>
    <xf numFmtId="2" fontId="0" fillId="0" borderId="0" xfId="0" applyNumberFormat="1" applyFont="1" applyAlignment="1">
      <alignment horizontal="center"/>
    </xf>
    <xf numFmtId="0" fontId="3" fillId="0" borderId="0" xfId="0" applyFont="1" applyAlignment="1">
      <alignment horizontal="left" wrapText="1"/>
    </xf>
    <xf numFmtId="0" fontId="3" fillId="0" borderId="0" xfId="0" applyFont="1" applyAlignment="1">
      <alignment horizontal="left" wrapText="1"/>
    </xf>
    <xf numFmtId="2" fontId="2" fillId="0" borderId="0" xfId="0" applyNumberFormat="1" applyFont="1" applyFill="1" applyAlignment="1">
      <alignment horizontal="center" wrapText="1"/>
    </xf>
    <xf numFmtId="2" fontId="0" fillId="0" borderId="0" xfId="0" applyNumberFormat="1" applyFont="1" applyFill="1" applyAlignment="1">
      <alignment horizontal="center" wrapText="1"/>
    </xf>
    <xf numFmtId="2" fontId="0" fillId="0" borderId="0" xfId="0" applyNumberFormat="1" applyFill="1" applyAlignment="1">
      <alignment horizontal="center" wrapText="1"/>
    </xf>
    <xf numFmtId="2" fontId="0" fillId="0" borderId="0" xfId="0" applyNumberFormat="1" applyFill="1"/>
    <xf numFmtId="2" fontId="7" fillId="0" borderId="0" xfId="0" applyNumberFormat="1" applyFont="1" applyFill="1"/>
    <xf numFmtId="1" fontId="7" fillId="0" borderId="0" xfId="0" applyNumberFormat="1" applyFont="1" applyFill="1" applyAlignment="1">
      <alignment horizontal="center"/>
    </xf>
    <xf numFmtId="1" fontId="0" fillId="2" borderId="0" xfId="0" applyNumberFormat="1" applyFill="1"/>
    <xf numFmtId="1" fontId="0" fillId="2" borderId="0" xfId="0" applyNumberFormat="1" applyFill="1" applyAlignment="1">
      <alignment wrapText="1"/>
    </xf>
    <xf numFmtId="3" fontId="0" fillId="2" borderId="0" xfId="0" applyNumberFormat="1" applyFill="1" applyAlignment="1">
      <alignment horizontal="center"/>
    </xf>
    <xf numFmtId="2" fontId="0" fillId="2" borderId="0" xfId="0" applyNumberFormat="1" applyFill="1" applyAlignment="1">
      <alignment horizontal="center"/>
    </xf>
    <xf numFmtId="165" fontId="0" fillId="2" borderId="0" xfId="2" applyNumberFormat="1" applyFont="1" applyFill="1" applyAlignment="1">
      <alignment horizontal="center"/>
    </xf>
    <xf numFmtId="0" fontId="0" fillId="2" borderId="0" xfId="0" applyFill="1"/>
    <xf numFmtId="1" fontId="0" fillId="2" borderId="0" xfId="0" applyNumberFormat="1" applyFill="1" applyAlignment="1">
      <alignment horizontal="center"/>
    </xf>
    <xf numFmtId="0" fontId="0" fillId="2" borderId="0" xfId="0" applyFill="1" applyAlignment="1">
      <alignment wrapText="1"/>
    </xf>
    <xf numFmtId="0" fontId="0" fillId="2" borderId="0" xfId="0" applyFill="1" applyAlignment="1">
      <alignment horizontal="left" wrapText="1"/>
    </xf>
    <xf numFmtId="2" fontId="0" fillId="2" borderId="0" xfId="0" applyNumberFormat="1" applyFill="1" applyAlignment="1">
      <alignment horizontal="center" wrapText="1"/>
    </xf>
    <xf numFmtId="2" fontId="1" fillId="2" borderId="0" xfId="0" applyNumberFormat="1" applyFont="1" applyFill="1" applyAlignment="1">
      <alignment horizontal="left"/>
    </xf>
    <xf numFmtId="9" fontId="2" fillId="0" borderId="0" xfId="1" applyFont="1" applyFill="1"/>
    <xf numFmtId="43" fontId="2" fillId="0" borderId="0" xfId="0" applyNumberFormat="1" applyFont="1" applyAlignment="1">
      <alignment wrapText="1"/>
    </xf>
    <xf numFmtId="0" fontId="0" fillId="0" borderId="0" xfId="0" applyFill="1" applyAlignment="1">
      <alignment horizontal="center" wrapText="1"/>
    </xf>
    <xf numFmtId="0" fontId="3" fillId="2" borderId="0" xfId="0" applyFont="1" applyFill="1" applyAlignment="1">
      <alignment wrapText="1"/>
    </xf>
    <xf numFmtId="0" fontId="0" fillId="2" borderId="0" xfId="0" applyFill="1" applyAlignment="1">
      <alignment horizontal="center" wrapText="1"/>
    </xf>
    <xf numFmtId="0" fontId="3" fillId="2" borderId="0" xfId="0" applyFont="1" applyFill="1" applyAlignment="1">
      <alignment horizontal="center" wrapText="1"/>
    </xf>
    <xf numFmtId="43" fontId="0" fillId="0" borderId="0" xfId="0" applyNumberFormat="1" applyAlignment="1">
      <alignment horizontal="center" wrapText="1"/>
    </xf>
    <xf numFmtId="0" fontId="15" fillId="0" borderId="0" xfId="0" applyNumberFormat="1" applyFont="1" applyFill="1" applyBorder="1" applyAlignment="1" applyProtection="1">
      <alignment horizontal="center" vertical="center" wrapText="1"/>
    </xf>
    <xf numFmtId="165" fontId="15" fillId="0" borderId="0" xfId="2" applyNumberFormat="1" applyFont="1" applyFill="1" applyBorder="1" applyAlignment="1" applyProtection="1">
      <alignment horizontal="right" vertical="center" wrapText="1"/>
    </xf>
    <xf numFmtId="166" fontId="15" fillId="0" borderId="0" xfId="0" applyNumberFormat="1" applyFont="1" applyFill="1" applyBorder="1" applyAlignment="1" applyProtection="1">
      <alignment horizontal="right" vertical="center" wrapText="1"/>
    </xf>
    <xf numFmtId="0" fontId="15" fillId="0" borderId="0" xfId="0" applyFont="1" applyFill="1" applyBorder="1" applyAlignment="1">
      <alignment wrapText="1"/>
    </xf>
    <xf numFmtId="0" fontId="15" fillId="0" borderId="0" xfId="0" applyNumberFormat="1" applyFont="1" applyFill="1" applyBorder="1" applyAlignment="1" applyProtection="1">
      <alignment vertical="center" wrapText="1"/>
    </xf>
    <xf numFmtId="0" fontId="15" fillId="0" borderId="0" xfId="0" applyFont="1" applyFill="1" applyBorder="1" applyAlignment="1" applyProtection="1">
      <alignment wrapText="1"/>
    </xf>
    <xf numFmtId="0" fontId="15" fillId="0" borderId="0" xfId="0" applyFont="1" applyFill="1" applyBorder="1" applyAlignment="1">
      <alignment horizontal="left" wrapText="1"/>
    </xf>
    <xf numFmtId="0" fontId="15" fillId="0" borderId="0" xfId="0" applyFont="1" applyFill="1" applyBorder="1" applyAlignment="1">
      <alignment horizontal="center" wrapText="1"/>
    </xf>
    <xf numFmtId="0" fontId="15" fillId="0" borderId="0" xfId="0" applyNumberFormat="1" applyFont="1" applyFill="1" applyBorder="1" applyAlignment="1">
      <alignment horizontal="center" wrapText="1"/>
    </xf>
    <xf numFmtId="3" fontId="15" fillId="0" borderId="0" xfId="0" applyNumberFormat="1" applyFont="1" applyFill="1" applyBorder="1" applyAlignment="1">
      <alignment wrapText="1"/>
    </xf>
    <xf numFmtId="165" fontId="15" fillId="0" borderId="0" xfId="2" applyNumberFormat="1" applyFont="1" applyFill="1" applyBorder="1" applyAlignment="1">
      <alignment horizontal="right" wrapText="1"/>
    </xf>
    <xf numFmtId="166" fontId="16" fillId="0" borderId="0" xfId="0" applyNumberFormat="1" applyFont="1" applyFill="1" applyBorder="1" applyAlignment="1">
      <alignment horizontal="right" wrapText="1"/>
    </xf>
    <xf numFmtId="166" fontId="15" fillId="0" borderId="0" xfId="0" applyNumberFormat="1" applyFont="1" applyFill="1" applyBorder="1" applyAlignment="1">
      <alignment horizontal="right" wrapText="1"/>
    </xf>
    <xf numFmtId="165" fontId="15" fillId="0" borderId="0" xfId="2" applyNumberFormat="1" applyFont="1" applyFill="1" applyBorder="1" applyAlignment="1" applyProtection="1">
      <alignment horizontal="right" wrapText="1"/>
    </xf>
    <xf numFmtId="0" fontId="15" fillId="0" borderId="0" xfId="0" applyNumberFormat="1" applyFont="1" applyFill="1" applyBorder="1" applyAlignment="1">
      <alignment horizontal="center" vertical="top" wrapText="1"/>
    </xf>
    <xf numFmtId="0" fontId="17" fillId="0" borderId="0" xfId="0" applyFont="1" applyFill="1" applyBorder="1" applyAlignment="1">
      <alignment horizontal="center" wrapText="1"/>
    </xf>
    <xf numFmtId="0" fontId="15" fillId="0" borderId="0" xfId="0" applyFont="1" applyFill="1" applyAlignment="1">
      <alignment wrapText="1"/>
    </xf>
    <xf numFmtId="0" fontId="18" fillId="0" borderId="0" xfId="0" applyNumberFormat="1" applyFont="1" applyFill="1" applyBorder="1" applyAlignment="1" applyProtection="1">
      <alignment vertical="center" wrapText="1"/>
    </xf>
    <xf numFmtId="0" fontId="18" fillId="0" borderId="0" xfId="0" applyNumberFormat="1" applyFont="1" applyFill="1" applyBorder="1" applyAlignment="1" applyProtection="1">
      <alignment horizontal="center" vertical="center" wrapText="1"/>
    </xf>
    <xf numFmtId="165" fontId="19" fillId="0" borderId="0" xfId="2" applyNumberFormat="1" applyFont="1" applyFill="1" applyBorder="1" applyAlignment="1" applyProtection="1">
      <alignment vertical="center" wrapText="1"/>
    </xf>
    <xf numFmtId="166" fontId="19" fillId="0" borderId="0" xfId="0" applyNumberFormat="1" applyFont="1" applyFill="1" applyBorder="1" applyAlignment="1" applyProtection="1">
      <alignment vertical="center" wrapText="1"/>
    </xf>
    <xf numFmtId="0" fontId="15" fillId="0" borderId="0" xfId="0" applyNumberFormat="1" applyFont="1" applyFill="1" applyAlignment="1">
      <alignment horizontal="center" wrapText="1"/>
    </xf>
    <xf numFmtId="43" fontId="0" fillId="0" borderId="0" xfId="0" applyNumberFormat="1" applyFont="1" applyAlignment="1">
      <alignment wrapText="1"/>
    </xf>
    <xf numFmtId="165" fontId="0" fillId="0" borderId="0" xfId="2" applyNumberFormat="1" applyFont="1" applyAlignment="1">
      <alignment horizontal="center" wrapText="1"/>
    </xf>
    <xf numFmtId="165" fontId="3" fillId="0" borderId="0" xfId="2" applyNumberFormat="1" applyFont="1" applyAlignment="1">
      <alignment horizontal="center" wrapText="1"/>
    </xf>
    <xf numFmtId="165" fontId="0" fillId="0" borderId="0" xfId="2" applyNumberFormat="1" applyFont="1" applyFill="1" applyAlignment="1">
      <alignment horizontal="center" wrapText="1"/>
    </xf>
    <xf numFmtId="165" fontId="2" fillId="0" borderId="0" xfId="2" applyNumberFormat="1" applyFont="1" applyAlignment="1">
      <alignment horizontal="center" wrapText="1"/>
    </xf>
    <xf numFmtId="165" fontId="14" fillId="0" borderId="0" xfId="2" applyNumberFormat="1" applyFont="1" applyAlignment="1">
      <alignment horizontal="center" wrapText="1"/>
    </xf>
    <xf numFmtId="0" fontId="19"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horizontal="left" vertical="center"/>
    </xf>
    <xf numFmtId="0" fontId="19" fillId="0" borderId="0" xfId="0" applyNumberFormat="1" applyFont="1" applyFill="1" applyBorder="1" applyAlignment="1" applyProtection="1">
      <alignment horizontal="right" vertical="center"/>
    </xf>
    <xf numFmtId="167" fontId="19" fillId="0" borderId="0" xfId="0" applyNumberFormat="1" applyFont="1" applyFill="1" applyBorder="1" applyAlignment="1" applyProtection="1">
      <alignment horizontal="right" vertical="center"/>
    </xf>
    <xf numFmtId="0" fontId="22" fillId="0" borderId="0"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vertical="center"/>
    </xf>
    <xf numFmtId="3" fontId="22" fillId="0" borderId="0" xfId="0" applyNumberFormat="1" applyFont="1" applyFill="1" applyBorder="1" applyAlignment="1" applyProtection="1">
      <alignment horizontal="right" vertical="center"/>
    </xf>
    <xf numFmtId="167" fontId="22" fillId="0" borderId="0" xfId="0" applyNumberFormat="1" applyFont="1" applyFill="1" applyBorder="1" applyAlignment="1" applyProtection="1">
      <alignment horizontal="right" vertical="center"/>
    </xf>
    <xf numFmtId="0" fontId="0" fillId="0" borderId="0" xfId="0" applyFill="1" applyBorder="1"/>
    <xf numFmtId="0" fontId="23"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right" vertical="center"/>
    </xf>
    <xf numFmtId="0" fontId="20" fillId="0" borderId="0" xfId="3" applyFill="1" applyBorder="1" applyAlignment="1" applyProtection="1"/>
    <xf numFmtId="3" fontId="22" fillId="0" borderId="0" xfId="0" applyNumberFormat="1" applyFont="1" applyFill="1" applyBorder="1" applyAlignment="1" applyProtection="1"/>
    <xf numFmtId="0" fontId="19" fillId="0" borderId="0" xfId="0" applyNumberFormat="1" applyFont="1" applyFill="1" applyBorder="1" applyAlignment="1" applyProtection="1">
      <alignment vertical="center"/>
    </xf>
    <xf numFmtId="3" fontId="19" fillId="0" borderId="0" xfId="0" applyNumberFormat="1" applyFont="1" applyFill="1" applyBorder="1" applyAlignment="1" applyProtection="1">
      <alignment horizontal="right" vertical="center"/>
    </xf>
    <xf numFmtId="166" fontId="19" fillId="0" borderId="0" xfId="0" applyNumberFormat="1" applyFont="1" applyFill="1" applyBorder="1" applyAlignment="1" applyProtection="1">
      <alignment horizontal="right" vertical="center"/>
    </xf>
    <xf numFmtId="0" fontId="24" fillId="0" borderId="0" xfId="0" applyNumberFormat="1" applyFont="1" applyFill="1" applyBorder="1" applyAlignment="1" applyProtection="1">
      <alignment horizontal="center" vertical="center"/>
    </xf>
    <xf numFmtId="3" fontId="24" fillId="0" borderId="0" xfId="0" applyNumberFormat="1" applyFont="1" applyFill="1" applyBorder="1" applyAlignment="1" applyProtection="1">
      <alignment vertical="center" wrapText="1"/>
    </xf>
    <xf numFmtId="166" fontId="24" fillId="0" borderId="0" xfId="0" applyNumberFormat="1" applyFont="1" applyFill="1" applyBorder="1" applyAlignment="1" applyProtection="1">
      <alignment vertical="center" wrapText="1"/>
    </xf>
    <xf numFmtId="0" fontId="25"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center" vertical="center"/>
    </xf>
    <xf numFmtId="0" fontId="26" fillId="0" borderId="0" xfId="0" applyNumberFormat="1" applyFont="1" applyFill="1" applyBorder="1" applyAlignment="1" applyProtection="1">
      <alignment vertical="center"/>
    </xf>
    <xf numFmtId="3" fontId="26" fillId="0" borderId="0" xfId="0" applyNumberFormat="1" applyFont="1" applyFill="1" applyBorder="1" applyAlignment="1" applyProtection="1">
      <alignment vertical="center" wrapText="1"/>
    </xf>
    <xf numFmtId="166" fontId="26" fillId="0" borderId="0" xfId="0" applyNumberFormat="1" applyFont="1" applyFill="1" applyBorder="1" applyAlignment="1" applyProtection="1">
      <alignment vertical="center" wrapText="1"/>
    </xf>
    <xf numFmtId="0" fontId="27" fillId="0" borderId="0" xfId="0" applyNumberFormat="1" applyFont="1" applyFill="1" applyBorder="1" applyAlignment="1" applyProtection="1">
      <alignment vertical="center"/>
    </xf>
    <xf numFmtId="3" fontId="28" fillId="0" borderId="0" xfId="0" applyNumberFormat="1" applyFont="1" applyFill="1" applyBorder="1" applyAlignment="1">
      <alignment wrapText="1"/>
    </xf>
    <xf numFmtId="0" fontId="29"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horizontal="center" vertical="center"/>
    </xf>
    <xf numFmtId="3" fontId="30" fillId="0" borderId="0" xfId="0" applyNumberFormat="1" applyFont="1" applyFill="1" applyBorder="1" applyAlignment="1" applyProtection="1">
      <alignment vertical="center" wrapText="1"/>
    </xf>
    <xf numFmtId="166" fontId="30" fillId="0" borderId="0" xfId="0" applyNumberFormat="1" applyFont="1" applyFill="1" applyBorder="1" applyAlignment="1" applyProtection="1">
      <alignment vertical="center" wrapText="1"/>
    </xf>
    <xf numFmtId="0" fontId="28" fillId="0" borderId="0" xfId="0" applyFont="1" applyFill="1" applyBorder="1"/>
    <xf numFmtId="0" fontId="28" fillId="0" borderId="0" xfId="0" applyFont="1" applyFill="1" applyBorder="1" applyAlignment="1">
      <alignment wrapText="1"/>
    </xf>
    <xf numFmtId="0" fontId="30"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right" vertical="center"/>
    </xf>
    <xf numFmtId="166" fontId="30" fillId="0" borderId="0" xfId="0" applyNumberFormat="1" applyFont="1" applyFill="1" applyBorder="1" applyAlignment="1" applyProtection="1">
      <alignment horizontal="right" vertical="center"/>
    </xf>
    <xf numFmtId="3" fontId="26" fillId="0" borderId="0" xfId="0" applyNumberFormat="1" applyFont="1" applyFill="1" applyBorder="1" applyAlignment="1" applyProtection="1">
      <alignment horizontal="right" vertical="center"/>
    </xf>
    <xf numFmtId="0" fontId="26" fillId="0" borderId="0" xfId="0" applyNumberFormat="1" applyFont="1" applyFill="1" applyBorder="1" applyAlignment="1" applyProtection="1">
      <alignment horizontal="right" vertical="center"/>
    </xf>
    <xf numFmtId="166" fontId="26" fillId="0" borderId="0" xfId="0" applyNumberFormat="1" applyFont="1" applyFill="1" applyBorder="1" applyAlignment="1" applyProtection="1">
      <alignment horizontal="right" vertical="center"/>
    </xf>
    <xf numFmtId="0" fontId="30" fillId="0" borderId="0" xfId="0" applyNumberFormat="1" applyFont="1" applyFill="1" applyBorder="1" applyAlignment="1" applyProtection="1">
      <alignment vertical="center"/>
    </xf>
    <xf numFmtId="3" fontId="30" fillId="0" borderId="0" xfId="0" applyNumberFormat="1" applyFont="1" applyFill="1" applyBorder="1" applyAlignment="1" applyProtection="1">
      <alignment horizontal="right" vertical="center"/>
    </xf>
    <xf numFmtId="0" fontId="30" fillId="0" borderId="0" xfId="0" applyNumberFormat="1" applyFont="1" applyFill="1" applyBorder="1" applyAlignment="1" applyProtection="1">
      <alignment horizontal="center"/>
    </xf>
    <xf numFmtId="0" fontId="30" fillId="0" borderId="0" xfId="0" applyNumberFormat="1" applyFont="1" applyFill="1" applyBorder="1" applyAlignment="1" applyProtection="1">
      <alignment horizontal="right"/>
    </xf>
    <xf numFmtId="0" fontId="26" fillId="0" borderId="0" xfId="0" applyNumberFormat="1" applyFont="1" applyFill="1" applyBorder="1" applyAlignment="1" applyProtection="1">
      <alignment horizontal="center"/>
    </xf>
    <xf numFmtId="0" fontId="26" fillId="0" borderId="0" xfId="0" applyNumberFormat="1" applyFont="1" applyFill="1" applyBorder="1" applyAlignment="1" applyProtection="1">
      <alignment horizontal="left"/>
    </xf>
    <xf numFmtId="3" fontId="26" fillId="0" borderId="0" xfId="0" applyNumberFormat="1" applyFont="1" applyFill="1" applyBorder="1" applyAlignment="1" applyProtection="1">
      <alignment horizontal="right"/>
    </xf>
    <xf numFmtId="0" fontId="26" fillId="0" borderId="0" xfId="0" applyNumberFormat="1" applyFont="1" applyFill="1" applyBorder="1" applyAlignment="1" applyProtection="1">
      <alignment horizontal="right"/>
    </xf>
    <xf numFmtId="3" fontId="30" fillId="0" borderId="0" xfId="0" applyNumberFormat="1" applyFont="1" applyFill="1" applyBorder="1" applyAlignment="1" applyProtection="1"/>
    <xf numFmtId="2" fontId="0" fillId="0" borderId="0" xfId="0" applyNumberFormat="1" applyFont="1" applyFill="1" applyBorder="1" applyAlignment="1">
      <alignment horizontal="center"/>
    </xf>
    <xf numFmtId="0" fontId="0" fillId="0" borderId="0" xfId="0"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9" fontId="3" fillId="0" borderId="0" xfId="0" applyNumberFormat="1" applyFont="1" applyFill="1" applyBorder="1" applyAlignment="1">
      <alignment horizontal="center" vertical="center" wrapText="1"/>
    </xf>
    <xf numFmtId="0" fontId="2" fillId="0" borderId="0" xfId="0" applyFont="1" applyFill="1"/>
    <xf numFmtId="0" fontId="0" fillId="2" borderId="0" xfId="0" applyFont="1" applyFill="1" applyAlignment="1">
      <alignment horizontal="center" wrapText="1"/>
    </xf>
    <xf numFmtId="0" fontId="0" fillId="2" borderId="0" xfId="0" applyFont="1" applyFill="1" applyAlignment="1">
      <alignment horizontal="left" wrapText="1"/>
    </xf>
    <xf numFmtId="0" fontId="3" fillId="2" borderId="0" xfId="0" applyFont="1" applyFill="1" applyAlignment="1">
      <alignment horizontal="left" wrapText="1"/>
    </xf>
    <xf numFmtId="3" fontId="3" fillId="0" borderId="0" xfId="0" applyNumberFormat="1" applyFont="1" applyAlignment="1">
      <alignment horizontal="center" wrapText="1"/>
    </xf>
    <xf numFmtId="3" fontId="3" fillId="2" borderId="0" xfId="0" applyNumberFormat="1" applyFont="1" applyFill="1" applyAlignment="1">
      <alignment horizontal="center" wrapText="1"/>
    </xf>
    <xf numFmtId="2" fontId="3" fillId="2" borderId="0" xfId="0" applyNumberFormat="1" applyFont="1" applyFill="1" applyAlignment="1">
      <alignment horizontal="center" wrapText="1"/>
    </xf>
    <xf numFmtId="2" fontId="3" fillId="0" borderId="0" xfId="0" applyNumberFormat="1" applyFont="1" applyFill="1" applyAlignment="1">
      <alignment horizontal="center" wrapText="1"/>
    </xf>
    <xf numFmtId="3" fontId="0" fillId="0" borderId="0" xfId="0" applyNumberFormat="1" applyFill="1" applyAlignment="1">
      <alignment horizontal="center"/>
    </xf>
    <xf numFmtId="165" fontId="2" fillId="0" borderId="0" xfId="2" applyNumberFormat="1" applyFont="1" applyAlignment="1">
      <alignment horizontal="center"/>
    </xf>
    <xf numFmtId="0" fontId="0" fillId="2" borderId="0" xfId="0" applyFont="1" applyFill="1" applyAlignment="1">
      <alignment horizontal="left"/>
    </xf>
    <xf numFmtId="3" fontId="0" fillId="2" borderId="0" xfId="0" applyNumberFormat="1" applyFont="1" applyFill="1" applyAlignment="1">
      <alignment horizontal="center" wrapText="1"/>
    </xf>
    <xf numFmtId="2" fontId="0" fillId="2" borderId="0" xfId="0" applyNumberFormat="1" applyFont="1" applyFill="1" applyAlignment="1">
      <alignment horizontal="center" wrapText="1"/>
    </xf>
    <xf numFmtId="3" fontId="0" fillId="0" borderId="0" xfId="0" applyNumberFormat="1" applyFont="1" applyFill="1" applyAlignment="1">
      <alignment horizontal="center" wrapText="1"/>
    </xf>
    <xf numFmtId="2" fontId="3" fillId="2" borderId="0" xfId="0" applyNumberFormat="1" applyFont="1" applyFill="1" applyAlignment="1">
      <alignment horizontal="center"/>
    </xf>
    <xf numFmtId="3" fontId="3" fillId="0" borderId="0" xfId="0" applyNumberFormat="1" applyFont="1" applyFill="1" applyAlignment="1">
      <alignment horizontal="center"/>
    </xf>
    <xf numFmtId="3" fontId="3" fillId="2" borderId="0" xfId="0" applyNumberFormat="1" applyFont="1" applyFill="1" applyAlignment="1">
      <alignment horizontal="center"/>
    </xf>
    <xf numFmtId="0" fontId="2" fillId="0" borderId="0" xfId="0" applyFont="1" applyFill="1" applyAlignment="1">
      <alignment horizontal="right" wrapText="1"/>
    </xf>
    <xf numFmtId="3" fontId="2" fillId="0" borderId="0" xfId="0" applyNumberFormat="1" applyFont="1" applyFill="1" applyAlignment="1">
      <alignment horizontal="center"/>
    </xf>
    <xf numFmtId="0" fontId="11" fillId="2" borderId="0" xfId="0" applyFont="1" applyFill="1" applyAlignment="1">
      <alignment wrapText="1"/>
    </xf>
    <xf numFmtId="0" fontId="0" fillId="2" borderId="0" xfId="0" applyFill="1" applyAlignment="1">
      <alignment horizontal="center"/>
    </xf>
    <xf numFmtId="3" fontId="0" fillId="0" borderId="0" xfId="0" applyNumberFormat="1" applyFill="1" applyAlignment="1">
      <alignment horizontal="center" wrapText="1"/>
    </xf>
    <xf numFmtId="3" fontId="0" fillId="0" borderId="0" xfId="2" applyNumberFormat="1" applyFont="1" applyAlignment="1">
      <alignment horizontal="center"/>
    </xf>
    <xf numFmtId="0" fontId="2" fillId="0" borderId="0" xfId="0" applyFont="1" applyFill="1" applyAlignment="1">
      <alignment wrapText="1"/>
    </xf>
    <xf numFmtId="2" fontId="0" fillId="0" borderId="0" xfId="0" applyNumberFormat="1" applyAlignment="1">
      <alignment horizontal="center" wrapText="1"/>
    </xf>
    <xf numFmtId="0" fontId="3" fillId="0" borderId="0" xfId="0" applyFont="1" applyAlignment="1">
      <alignment horizontal="left" wrapText="1"/>
    </xf>
    <xf numFmtId="0" fontId="3" fillId="0" borderId="0" xfId="0" applyFont="1" applyAlignment="1">
      <alignment horizontal="left" wrapText="1"/>
    </xf>
    <xf numFmtId="43" fontId="0" fillId="0" borderId="0" xfId="0" applyNumberFormat="1" applyAlignment="1">
      <alignment horizontal="center"/>
    </xf>
    <xf numFmtId="165" fontId="0" fillId="0" borderId="0" xfId="2" applyNumberFormat="1" applyFont="1" applyAlignment="1">
      <alignment horizontal="center"/>
    </xf>
    <xf numFmtId="43" fontId="2" fillId="0" borderId="0" xfId="0" applyNumberFormat="1" applyFont="1" applyAlignment="1">
      <alignment horizontal="center"/>
    </xf>
    <xf numFmtId="43" fontId="0" fillId="0" borderId="0" xfId="0" applyNumberFormat="1" applyFill="1" applyAlignment="1">
      <alignment horizontal="center"/>
    </xf>
    <xf numFmtId="0" fontId="28" fillId="0" borderId="0" xfId="0" applyFont="1" applyFill="1" applyBorder="1" applyAlignment="1">
      <alignment horizontal="center"/>
    </xf>
    <xf numFmtId="3" fontId="24" fillId="0" borderId="0" xfId="0" applyNumberFormat="1" applyFont="1" applyFill="1" applyBorder="1" applyAlignment="1" applyProtection="1">
      <alignment horizontal="center" vertical="center" wrapText="1"/>
    </xf>
    <xf numFmtId="3" fontId="26" fillId="0" borderId="0" xfId="0" applyNumberFormat="1" applyFont="1" applyFill="1" applyBorder="1" applyAlignment="1" applyProtection="1">
      <alignment horizontal="center" vertical="center" wrapText="1"/>
    </xf>
    <xf numFmtId="3" fontId="28" fillId="0" borderId="0" xfId="0" applyNumberFormat="1" applyFont="1" applyFill="1" applyBorder="1" applyAlignment="1">
      <alignment horizontal="center" wrapText="1"/>
    </xf>
    <xf numFmtId="3" fontId="30" fillId="0" borderId="0" xfId="0" applyNumberFormat="1" applyFont="1" applyFill="1" applyBorder="1" applyAlignment="1" applyProtection="1">
      <alignment horizontal="center" vertical="center" wrapText="1"/>
    </xf>
    <xf numFmtId="0" fontId="28" fillId="0" borderId="0" xfId="0" applyFont="1" applyFill="1" applyBorder="1" applyAlignment="1">
      <alignment horizontal="center" wrapText="1"/>
    </xf>
    <xf numFmtId="3" fontId="26" fillId="0" borderId="0" xfId="0" applyNumberFormat="1" applyFont="1" applyFill="1" applyBorder="1" applyAlignment="1" applyProtection="1">
      <alignment horizontal="center" vertical="center"/>
    </xf>
    <xf numFmtId="3" fontId="30" fillId="0" borderId="0" xfId="0" applyNumberFormat="1" applyFont="1" applyFill="1" applyBorder="1" applyAlignment="1" applyProtection="1">
      <alignment horizontal="center" vertical="center"/>
    </xf>
    <xf numFmtId="3" fontId="26" fillId="0" borderId="0" xfId="0" applyNumberFormat="1" applyFont="1" applyFill="1" applyBorder="1" applyAlignment="1" applyProtection="1">
      <alignment horizontal="center"/>
    </xf>
    <xf numFmtId="3" fontId="30" fillId="0" borderId="0" xfId="0" applyNumberFormat="1" applyFont="1" applyFill="1" applyBorder="1" applyAlignment="1" applyProtection="1">
      <alignment horizontal="center"/>
    </xf>
    <xf numFmtId="166" fontId="30" fillId="0" borderId="0" xfId="0" applyNumberFormat="1" applyFont="1" applyFill="1" applyBorder="1" applyAlignment="1" applyProtection="1">
      <alignment horizontal="right" wrapText="1"/>
    </xf>
    <xf numFmtId="166" fontId="26" fillId="0" borderId="0" xfId="0" applyNumberFormat="1" applyFont="1" applyFill="1" applyBorder="1" applyAlignment="1" applyProtection="1">
      <alignment horizontal="right" wrapText="1"/>
    </xf>
    <xf numFmtId="2" fontId="0" fillId="0" borderId="0" xfId="0" applyNumberFormat="1" applyFont="1" applyAlignment="1">
      <alignment horizontal="center" wrapText="1"/>
    </xf>
    <xf numFmtId="2" fontId="28" fillId="0" borderId="0" xfId="0" applyNumberFormat="1" applyFont="1" applyFill="1" applyBorder="1" applyAlignment="1" applyProtection="1">
      <alignment horizontal="center"/>
    </xf>
    <xf numFmtId="0" fontId="3" fillId="2" borderId="0" xfId="0" applyFont="1" applyFill="1"/>
    <xf numFmtId="0" fontId="2" fillId="2" borderId="0" xfId="0" applyFont="1" applyFill="1" applyAlignment="1">
      <alignment horizontal="center" wrapText="1"/>
    </xf>
    <xf numFmtId="0" fontId="3" fillId="2" borderId="0" xfId="0" applyFont="1" applyFill="1" applyAlignment="1">
      <alignment horizontal="center"/>
    </xf>
    <xf numFmtId="168" fontId="3" fillId="0" borderId="0" xfId="0" applyNumberFormat="1" applyFont="1" applyAlignment="1">
      <alignment horizontal="center" wrapText="1"/>
    </xf>
    <xf numFmtId="1" fontId="3" fillId="2" borderId="0" xfId="0" applyNumberFormat="1" applyFont="1" applyFill="1"/>
    <xf numFmtId="1" fontId="3" fillId="2" borderId="0" xfId="0" applyNumberFormat="1" applyFont="1" applyFill="1" applyAlignment="1">
      <alignment horizontal="center"/>
    </xf>
    <xf numFmtId="1" fontId="0" fillId="2" borderId="0" xfId="0" applyNumberFormat="1" applyFont="1" applyFill="1" applyAlignment="1">
      <alignment wrapText="1"/>
    </xf>
    <xf numFmtId="1" fontId="3" fillId="2" borderId="0" xfId="0" applyNumberFormat="1" applyFont="1" applyFill="1" applyAlignment="1">
      <alignment wrapText="1"/>
    </xf>
    <xf numFmtId="9" fontId="4" fillId="0" borderId="0" xfId="1" applyFont="1" applyFill="1"/>
    <xf numFmtId="165" fontId="4" fillId="0" borderId="0" xfId="2" applyNumberFormat="1" applyFont="1" applyFill="1" applyAlignment="1">
      <alignment horizontal="center"/>
    </xf>
    <xf numFmtId="0" fontId="3" fillId="0" borderId="0" xfId="0" applyFont="1" applyAlignment="1">
      <alignment horizontal="left" wrapText="1"/>
    </xf>
    <xf numFmtId="0" fontId="0" fillId="0" borderId="0" xfId="0" applyAlignment="1">
      <alignment vertical="center" wrapText="1"/>
    </xf>
    <xf numFmtId="3" fontId="3" fillId="0" borderId="0" xfId="0" applyNumberFormat="1" applyFont="1" applyAlignment="1">
      <alignment horizontal="center"/>
    </xf>
    <xf numFmtId="0" fontId="0" fillId="0" borderId="0" xfId="0" applyNumberFormat="1" applyAlignment="1">
      <alignment horizontal="center"/>
    </xf>
    <xf numFmtId="165" fontId="4" fillId="0" borderId="0" xfId="2" applyNumberFormat="1" applyFont="1" applyAlignment="1">
      <alignment horizontal="center"/>
    </xf>
    <xf numFmtId="10" fontId="4" fillId="0" borderId="0" xfId="1" applyNumberFormat="1" applyFont="1" applyAlignment="1">
      <alignment horizontal="left"/>
    </xf>
    <xf numFmtId="3" fontId="0" fillId="0" borderId="0" xfId="0" applyNumberFormat="1" applyFont="1" applyAlignment="1">
      <alignment horizontal="center" wrapText="1"/>
    </xf>
    <xf numFmtId="0" fontId="1" fillId="2" borderId="0" xfId="0" applyFont="1" applyFill="1" applyAlignment="1">
      <alignment wrapText="1"/>
    </xf>
    <xf numFmtId="0" fontId="3" fillId="0" borderId="0" xfId="0" applyFont="1" applyAlignment="1">
      <alignment horizontal="left" wrapText="1"/>
    </xf>
    <xf numFmtId="9" fontId="2" fillId="0" borderId="0" xfId="1" applyFont="1" applyAlignment="1">
      <alignment horizontal="left"/>
    </xf>
    <xf numFmtId="168" fontId="0" fillId="0" borderId="0" xfId="0" applyNumberFormat="1" applyAlignment="1">
      <alignment horizontal="center"/>
    </xf>
    <xf numFmtId="0" fontId="19" fillId="0" borderId="0" xfId="0" applyNumberFormat="1" applyFont="1" applyFill="1" applyBorder="1" applyAlignment="1" applyProtection="1">
      <alignment horizontal="right" vertical="center" wrapText="1"/>
    </xf>
    <xf numFmtId="3" fontId="22" fillId="0" borderId="0" xfId="0" applyNumberFormat="1" applyFont="1" applyFill="1" applyBorder="1" applyAlignment="1" applyProtection="1">
      <alignment horizontal="right" vertical="center" wrapText="1"/>
    </xf>
    <xf numFmtId="0" fontId="22" fillId="0" borderId="0" xfId="0" applyNumberFormat="1" applyFont="1" applyFill="1" applyBorder="1" applyAlignment="1" applyProtection="1">
      <alignment horizontal="right" vertical="center" wrapText="1"/>
    </xf>
    <xf numFmtId="3" fontId="19" fillId="0" borderId="0" xfId="0" applyNumberFormat="1" applyFont="1" applyFill="1" applyBorder="1" applyAlignment="1" applyProtection="1">
      <alignment horizontal="right" vertical="center" wrapText="1"/>
    </xf>
    <xf numFmtId="3" fontId="21" fillId="0" borderId="0" xfId="0" applyNumberFormat="1" applyFont="1" applyFill="1" applyBorder="1" applyAlignment="1" applyProtection="1">
      <alignment horizontal="center"/>
    </xf>
    <xf numFmtId="168" fontId="0" fillId="0" borderId="0" xfId="0" applyNumberFormat="1" applyFill="1" applyAlignment="1">
      <alignment horizontal="center" wrapText="1"/>
    </xf>
    <xf numFmtId="168" fontId="0" fillId="2" borderId="0" xfId="0" applyNumberFormat="1" applyFill="1" applyAlignment="1">
      <alignment horizontal="center" wrapText="1"/>
    </xf>
    <xf numFmtId="3" fontId="0" fillId="0" borderId="0" xfId="2" applyNumberFormat="1" applyFont="1" applyFill="1" applyAlignment="1">
      <alignment horizontal="center" wrapText="1"/>
    </xf>
    <xf numFmtId="43" fontId="0" fillId="0" borderId="0" xfId="0" applyNumberFormat="1" applyFont="1" applyAlignment="1">
      <alignment horizontal="center" wrapText="1"/>
    </xf>
    <xf numFmtId="3" fontId="0" fillId="0" borderId="0" xfId="2" applyNumberFormat="1" applyFont="1" applyAlignment="1">
      <alignment horizontal="center" wrapText="1"/>
    </xf>
    <xf numFmtId="3" fontId="3" fillId="0" borderId="0" xfId="2" applyNumberFormat="1" applyFont="1" applyAlignment="1">
      <alignment horizontal="center" wrapText="1"/>
    </xf>
    <xf numFmtId="168" fontId="0" fillId="0" borderId="0" xfId="0" applyNumberFormat="1" applyAlignment="1">
      <alignment horizontal="center" wrapText="1"/>
    </xf>
    <xf numFmtId="0" fontId="2" fillId="0" borderId="0" xfId="0" applyFont="1" applyAlignment="1">
      <alignment horizontal="left" wrapText="1"/>
    </xf>
    <xf numFmtId="0" fontId="0" fillId="2" borderId="0" xfId="0" applyFill="1" applyAlignment="1">
      <alignment horizontal="left"/>
    </xf>
    <xf numFmtId="0" fontId="4" fillId="0" borderId="0" xfId="0" applyFont="1" applyAlignment="1">
      <alignment horizontal="left"/>
    </xf>
    <xf numFmtId="0" fontId="4" fillId="0" borderId="0" xfId="0" applyFont="1" applyFill="1" applyAlignment="1">
      <alignment horizontal="left"/>
    </xf>
    <xf numFmtId="0" fontId="23" fillId="0" borderId="0" xfId="0" applyNumberFormat="1" applyFont="1" applyFill="1" applyBorder="1" applyAlignment="1" applyProtection="1">
      <alignment horizontal="left" vertical="center"/>
    </xf>
    <xf numFmtId="0" fontId="0" fillId="0" borderId="0" xfId="0" applyFill="1" applyAlignment="1">
      <alignment horizontal="left"/>
    </xf>
    <xf numFmtId="43" fontId="3" fillId="0" borderId="0" xfId="0" applyNumberFormat="1" applyFont="1" applyAlignment="1">
      <alignment horizontal="center" wrapText="1"/>
    </xf>
    <xf numFmtId="3" fontId="3" fillId="0" borderId="0" xfId="0" applyNumberFormat="1" applyFont="1" applyFill="1" applyAlignment="1">
      <alignment horizontal="center" wrapText="1"/>
    </xf>
    <xf numFmtId="3" fontId="0" fillId="2" borderId="0" xfId="2" applyNumberFormat="1" applyFont="1" applyFill="1" applyAlignment="1">
      <alignment horizontal="center" wrapText="1"/>
    </xf>
    <xf numFmtId="0" fontId="0" fillId="2" borderId="0" xfId="0" applyFill="1" applyAlignment="1">
      <alignment horizontal="center" vertical="center" wrapText="1"/>
    </xf>
    <xf numFmtId="0" fontId="3" fillId="0" borderId="0" xfId="0" applyFont="1" applyAlignment="1">
      <alignment horizontal="left" wrapText="1"/>
    </xf>
    <xf numFmtId="3" fontId="3" fillId="0" borderId="0" xfId="2" applyNumberFormat="1" applyFont="1" applyFill="1" applyAlignment="1">
      <alignment horizontal="center" wrapText="1"/>
    </xf>
    <xf numFmtId="168" fontId="3" fillId="0" borderId="0" xfId="0" applyNumberFormat="1" applyFont="1" applyFill="1" applyAlignment="1">
      <alignment horizontal="center" wrapText="1"/>
    </xf>
    <xf numFmtId="3" fontId="3" fillId="0" borderId="0" xfId="0" applyNumberFormat="1" applyFont="1" applyFill="1" applyBorder="1" applyAlignment="1" applyProtection="1">
      <alignment horizontal="center" wrapText="1"/>
    </xf>
    <xf numFmtId="0" fontId="14" fillId="0" borderId="0" xfId="0" applyFont="1" applyAlignment="1">
      <alignment horizontal="center" wrapText="1"/>
    </xf>
    <xf numFmtId="43" fontId="2" fillId="0" borderId="0" xfId="2" applyNumberFormat="1" applyFont="1" applyAlignment="1">
      <alignment wrapText="1"/>
    </xf>
    <xf numFmtId="0" fontId="14" fillId="0" borderId="0" xfId="0" applyFont="1" applyAlignment="1">
      <alignment horizontal="center"/>
    </xf>
    <xf numFmtId="3" fontId="15" fillId="0" borderId="0" xfId="0" applyNumberFormat="1" applyFont="1" applyFill="1" applyBorder="1" applyAlignment="1" applyProtection="1">
      <alignment horizontal="center" vertical="center" wrapText="1"/>
    </xf>
    <xf numFmtId="3" fontId="15" fillId="0" borderId="0" xfId="0" applyNumberFormat="1" applyFont="1" applyFill="1" applyBorder="1" applyAlignment="1">
      <alignment horizontal="center" wrapText="1"/>
    </xf>
    <xf numFmtId="3" fontId="15" fillId="0" borderId="0" xfId="2" applyNumberFormat="1" applyFont="1" applyFill="1" applyBorder="1" applyAlignment="1">
      <alignment horizontal="center" wrapText="1"/>
    </xf>
    <xf numFmtId="3" fontId="19" fillId="0" borderId="0" xfId="0" applyNumberFormat="1" applyFont="1" applyFill="1" applyBorder="1" applyAlignment="1" applyProtection="1">
      <alignment horizontal="center" vertical="center" wrapText="1"/>
    </xf>
    <xf numFmtId="0" fontId="15" fillId="0" borderId="0" xfId="0" applyFont="1" applyFill="1" applyAlignment="1">
      <alignment horizontal="center" wrapText="1"/>
    </xf>
    <xf numFmtId="43" fontId="2" fillId="0" borderId="0" xfId="0" applyNumberFormat="1" applyFont="1" applyAlignment="1">
      <alignment horizontal="center" wrapText="1"/>
    </xf>
    <xf numFmtId="43" fontId="0" fillId="0" borderId="0" xfId="0" applyNumberFormat="1" applyFill="1" applyAlignment="1">
      <alignment horizontal="center" wrapText="1"/>
    </xf>
    <xf numFmtId="165" fontId="3" fillId="2" borderId="0" xfId="2" applyNumberFormat="1" applyFont="1" applyFill="1" applyAlignment="1">
      <alignment horizontal="center" wrapText="1"/>
    </xf>
    <xf numFmtId="43" fontId="3" fillId="2" borderId="0" xfId="0" applyNumberFormat="1" applyFont="1" applyFill="1" applyAlignment="1">
      <alignment horizontal="center" wrapText="1"/>
    </xf>
    <xf numFmtId="165" fontId="3" fillId="0" borderId="0" xfId="2" applyNumberFormat="1" applyFont="1" applyFill="1" applyAlignment="1">
      <alignment horizontal="center" wrapText="1"/>
    </xf>
    <xf numFmtId="43" fontId="15" fillId="0" borderId="0" xfId="0" applyNumberFormat="1" applyFont="1" applyFill="1" applyBorder="1" applyAlignment="1" applyProtection="1">
      <alignment horizontal="center" vertical="center" wrapText="1"/>
    </xf>
    <xf numFmtId="43" fontId="15" fillId="0" borderId="0" xfId="0" applyNumberFormat="1" applyFont="1" applyFill="1" applyBorder="1" applyAlignment="1">
      <alignment horizontal="center" wrapText="1"/>
    </xf>
    <xf numFmtId="43" fontId="18" fillId="0" borderId="0" xfId="0" applyNumberFormat="1" applyFont="1" applyFill="1" applyBorder="1" applyAlignment="1" applyProtection="1">
      <alignment horizontal="center" vertical="center" wrapText="1"/>
    </xf>
    <xf numFmtId="43" fontId="15" fillId="0" borderId="0" xfId="0" applyNumberFormat="1" applyFont="1" applyFill="1" applyAlignment="1">
      <alignment horizontal="center" wrapText="1"/>
    </xf>
    <xf numFmtId="43" fontId="20" fillId="0" borderId="0" xfId="3" applyNumberFormat="1" applyFill="1" applyAlignment="1" applyProtection="1">
      <alignment horizontal="center" wrapText="1"/>
    </xf>
    <xf numFmtId="17" fontId="0" fillId="0" borderId="0" xfId="0" quotePrefix="1" applyNumberFormat="1" applyFill="1" applyAlignment="1">
      <alignment horizontal="center"/>
    </xf>
    <xf numFmtId="43" fontId="3" fillId="0" borderId="0" xfId="0" applyNumberFormat="1" applyFont="1" applyFill="1" applyAlignment="1">
      <alignment horizontal="center" wrapText="1"/>
    </xf>
    <xf numFmtId="3" fontId="0" fillId="0" borderId="0" xfId="0" applyNumberFormat="1" applyAlignment="1">
      <alignment wrapText="1"/>
    </xf>
    <xf numFmtId="3" fontId="0" fillId="0" borderId="0" xfId="0" applyNumberFormat="1" applyAlignment="1">
      <alignment horizontal="center" wrapText="1"/>
    </xf>
    <xf numFmtId="0" fontId="0" fillId="0" borderId="0" xfId="0" quotePrefix="1" applyAlignment="1">
      <alignment horizontal="center" wrapText="1"/>
    </xf>
    <xf numFmtId="2" fontId="3" fillId="0" borderId="0" xfId="0" applyNumberFormat="1" applyFont="1" applyFill="1" applyAlignment="1">
      <alignment wrapText="1"/>
    </xf>
    <xf numFmtId="43" fontId="0" fillId="0" borderId="0" xfId="0" applyNumberFormat="1" applyAlignment="1">
      <alignment wrapText="1"/>
    </xf>
    <xf numFmtId="165" fontId="2" fillId="0" borderId="0" xfId="0" applyNumberFormat="1" applyFont="1" applyAlignment="1">
      <alignment horizontal="center" wrapText="1"/>
    </xf>
    <xf numFmtId="43" fontId="1" fillId="0" borderId="0" xfId="0" applyNumberFormat="1" applyFont="1" applyAlignment="1">
      <alignment horizontal="center" wrapText="1"/>
    </xf>
    <xf numFmtId="0" fontId="11" fillId="0" borderId="0" xfId="0" applyFont="1" applyFill="1" applyAlignment="1">
      <alignment wrapText="1"/>
    </xf>
    <xf numFmtId="0" fontId="1" fillId="0" borderId="0" xfId="0" applyFont="1" applyFill="1" applyAlignment="1">
      <alignment horizontal="center"/>
    </xf>
    <xf numFmtId="2" fontId="4" fillId="0" borderId="0" xfId="0" applyNumberFormat="1" applyFont="1"/>
    <xf numFmtId="0" fontId="1" fillId="0" borderId="0" xfId="0" applyFont="1" applyFill="1"/>
    <xf numFmtId="0" fontId="3"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0" fillId="0" borderId="0" xfId="0" applyFont="1" applyFill="1" applyBorder="1" applyAlignment="1">
      <alignment horizontal="center"/>
    </xf>
    <xf numFmtId="0" fontId="4" fillId="0" borderId="0" xfId="0" applyFont="1" applyFill="1" applyBorder="1" applyAlignment="1">
      <alignment horizontal="center" vertical="center" wrapText="1"/>
    </xf>
    <xf numFmtId="0" fontId="2" fillId="0" borderId="0" xfId="0" applyFont="1" applyFill="1" applyAlignment="1">
      <alignment horizontal="right"/>
    </xf>
    <xf numFmtId="0" fontId="2" fillId="0" borderId="0" xfId="0" applyFont="1" applyFill="1" applyAlignment="1">
      <alignment horizontal="center"/>
    </xf>
    <xf numFmtId="9" fontId="2" fillId="0" borderId="0" xfId="1" applyFont="1" applyFill="1" applyAlignment="1">
      <alignment horizontal="center"/>
    </xf>
    <xf numFmtId="0" fontId="3" fillId="0" borderId="0" xfId="0" applyFont="1" applyAlignment="1">
      <alignment horizontal="left" wrapText="1"/>
    </xf>
  </cellXfs>
  <cellStyles count="4">
    <cellStyle name="Comma" xfId="2" builtinId="3"/>
    <cellStyle name="Hyperlink" xfId="3"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abSelected="1" workbookViewId="0"/>
  </sheetViews>
  <sheetFormatPr defaultRowHeight="15" x14ac:dyDescent="0.25"/>
  <cols>
    <col min="1" max="1" width="13.140625" customWidth="1"/>
    <col min="2" max="2" width="15.5703125" customWidth="1"/>
    <col min="3" max="3" width="14.85546875" customWidth="1"/>
    <col min="4" max="4" width="14.5703125" customWidth="1"/>
    <col min="5" max="5" width="5.140625" customWidth="1"/>
    <col min="6" max="6" width="15.7109375" style="104" customWidth="1"/>
    <col min="7" max="7" width="14.7109375" customWidth="1"/>
    <col min="8" max="8" width="35.42578125" customWidth="1"/>
  </cols>
  <sheetData>
    <row r="1" spans="1:8" s="1" customFormat="1" ht="105" x14ac:dyDescent="0.25">
      <c r="A1" s="48" t="s">
        <v>0</v>
      </c>
      <c r="B1" s="48" t="s">
        <v>460</v>
      </c>
      <c r="C1" s="48" t="s">
        <v>458</v>
      </c>
      <c r="D1" s="48" t="s">
        <v>459</v>
      </c>
      <c r="E1" s="48"/>
      <c r="F1" s="48" t="s">
        <v>463</v>
      </c>
      <c r="G1" s="48" t="s">
        <v>464</v>
      </c>
      <c r="H1" s="1" t="s">
        <v>457</v>
      </c>
    </row>
    <row r="2" spans="1:8" x14ac:dyDescent="0.25">
      <c r="A2" s="11" t="s">
        <v>28</v>
      </c>
      <c r="B2" s="231" t="s">
        <v>468</v>
      </c>
      <c r="C2" s="231" t="s">
        <v>465</v>
      </c>
      <c r="D2" s="231">
        <v>0.34</v>
      </c>
      <c r="E2" s="356"/>
      <c r="F2" s="231">
        <v>48.33</v>
      </c>
      <c r="G2" s="231" t="s">
        <v>469</v>
      </c>
    </row>
    <row r="3" spans="1:8" x14ac:dyDescent="0.25">
      <c r="A3" s="11" t="s">
        <v>50</v>
      </c>
      <c r="B3" s="231" t="s">
        <v>466</v>
      </c>
      <c r="C3" s="231" t="s">
        <v>466</v>
      </c>
      <c r="D3" s="231">
        <v>0</v>
      </c>
      <c r="E3" s="356"/>
      <c r="F3" s="231">
        <v>9.93</v>
      </c>
      <c r="G3" s="231" t="s">
        <v>470</v>
      </c>
    </row>
    <row r="4" spans="1:8" x14ac:dyDescent="0.25">
      <c r="A4" s="11" t="s">
        <v>12</v>
      </c>
      <c r="B4" s="231" t="s">
        <v>2626</v>
      </c>
      <c r="C4" s="231" t="s">
        <v>2625</v>
      </c>
      <c r="D4" s="231">
        <v>0.95</v>
      </c>
      <c r="E4" s="356"/>
      <c r="F4" s="230">
        <v>458.4</v>
      </c>
      <c r="G4" s="232" t="s">
        <v>471</v>
      </c>
    </row>
    <row r="5" spans="1:8" x14ac:dyDescent="0.25">
      <c r="A5" s="11" t="s">
        <v>30</v>
      </c>
      <c r="B5" s="231" t="s">
        <v>467</v>
      </c>
      <c r="C5" s="231" t="s">
        <v>467</v>
      </c>
      <c r="D5" s="231">
        <v>0</v>
      </c>
      <c r="E5" s="356"/>
      <c r="F5" s="231">
        <v>46.48</v>
      </c>
      <c r="G5" s="231" t="s">
        <v>472</v>
      </c>
    </row>
    <row r="6" spans="1:8" x14ac:dyDescent="0.25">
      <c r="A6" s="11" t="s">
        <v>31</v>
      </c>
      <c r="B6" s="357" t="s">
        <v>2572</v>
      </c>
      <c r="C6" s="357" t="s">
        <v>2571</v>
      </c>
      <c r="D6" s="357">
        <v>2.36</v>
      </c>
      <c r="E6" s="356"/>
      <c r="F6" s="231">
        <v>88.29</v>
      </c>
      <c r="G6" s="232" t="s">
        <v>472</v>
      </c>
    </row>
    <row r="7" spans="1:8" x14ac:dyDescent="0.25">
      <c r="A7" s="11" t="s">
        <v>8</v>
      </c>
      <c r="B7" s="357" t="s">
        <v>2576</v>
      </c>
      <c r="C7" s="357" t="s">
        <v>2575</v>
      </c>
      <c r="D7" s="357">
        <f>6.72-4.78</f>
        <v>1.9399999999999995</v>
      </c>
      <c r="E7" s="356"/>
      <c r="F7" s="231">
        <v>124.19</v>
      </c>
      <c r="G7" s="232" t="s">
        <v>473</v>
      </c>
    </row>
    <row r="8" spans="1:8" x14ac:dyDescent="0.25">
      <c r="A8" s="11" t="s">
        <v>9</v>
      </c>
      <c r="B8" s="357" t="s">
        <v>2585</v>
      </c>
      <c r="C8" s="357" t="s">
        <v>2584</v>
      </c>
      <c r="D8" s="357">
        <f>8.73-7.15</f>
        <v>1.58</v>
      </c>
      <c r="E8" s="356"/>
      <c r="F8" s="231">
        <v>144.03</v>
      </c>
      <c r="G8" s="231" t="s">
        <v>473</v>
      </c>
    </row>
    <row r="9" spans="1:8" x14ac:dyDescent="0.25">
      <c r="A9" s="11" t="s">
        <v>462</v>
      </c>
      <c r="B9" s="357">
        <v>82.93</v>
      </c>
      <c r="C9" s="357">
        <v>77.27</v>
      </c>
      <c r="D9" s="357">
        <v>5.66</v>
      </c>
      <c r="E9" s="354"/>
      <c r="F9" s="357">
        <v>122.57</v>
      </c>
      <c r="G9" s="233">
        <v>0.62</v>
      </c>
    </row>
    <row r="10" spans="1:8" s="14" customFormat="1" x14ac:dyDescent="0.25">
      <c r="A10" s="11" t="s">
        <v>323</v>
      </c>
      <c r="B10" s="358">
        <f>C10+D10</f>
        <v>97.91</v>
      </c>
      <c r="C10" s="357">
        <v>80.31</v>
      </c>
      <c r="D10" s="358">
        <v>17.600000000000001</v>
      </c>
      <c r="E10" s="354"/>
      <c r="F10" s="357">
        <f>127.62-2.29</f>
        <v>125.33</v>
      </c>
      <c r="G10" s="233">
        <v>0.63</v>
      </c>
    </row>
    <row r="11" spans="1:8" x14ac:dyDescent="0.25">
      <c r="A11" s="11" t="s">
        <v>418</v>
      </c>
      <c r="B11" s="357">
        <v>12.05</v>
      </c>
      <c r="C11" s="357">
        <v>12.05</v>
      </c>
      <c r="D11" s="357">
        <v>0</v>
      </c>
      <c r="E11" s="354"/>
      <c r="F11" s="357">
        <v>24.65</v>
      </c>
      <c r="G11" s="233">
        <v>0.49</v>
      </c>
      <c r="H11" s="104" t="s">
        <v>456</v>
      </c>
    </row>
    <row r="12" spans="1:8" x14ac:dyDescent="0.25">
      <c r="A12" s="11" t="s">
        <v>435</v>
      </c>
      <c r="B12" s="358">
        <v>31.1</v>
      </c>
      <c r="C12" s="358">
        <v>31.1</v>
      </c>
      <c r="D12" s="357">
        <v>0</v>
      </c>
      <c r="E12" s="354"/>
      <c r="F12" s="358">
        <v>31.1</v>
      </c>
      <c r="G12" s="233">
        <v>1</v>
      </c>
    </row>
    <row r="13" spans="1:8" x14ac:dyDescent="0.25">
      <c r="A13" s="11" t="s">
        <v>448</v>
      </c>
      <c r="B13" s="357">
        <v>30.99</v>
      </c>
      <c r="C13" s="357">
        <v>30.91</v>
      </c>
      <c r="D13" s="357">
        <v>0.08</v>
      </c>
      <c r="E13" s="354"/>
      <c r="F13" s="357">
        <v>105.12</v>
      </c>
      <c r="G13" s="233">
        <v>0.39</v>
      </c>
    </row>
    <row r="14" spans="1:8" s="104" customFormat="1" x14ac:dyDescent="0.25">
      <c r="A14" s="11" t="s">
        <v>461</v>
      </c>
      <c r="B14" s="358">
        <f>C14+D14</f>
        <v>146.42000000000002</v>
      </c>
      <c r="C14" s="357">
        <v>100.97</v>
      </c>
      <c r="D14" s="357">
        <v>45.45</v>
      </c>
      <c r="E14" s="354"/>
      <c r="F14" s="357">
        <v>322.26</v>
      </c>
      <c r="G14" s="233">
        <v>0.31</v>
      </c>
    </row>
    <row r="15" spans="1:8" x14ac:dyDescent="0.25">
      <c r="A15" s="11"/>
      <c r="B15" s="10"/>
      <c r="C15" s="359"/>
      <c r="D15" s="360"/>
      <c r="E15" s="10"/>
      <c r="F15" s="10"/>
      <c r="G15" s="10"/>
    </row>
    <row r="16" spans="1:8" x14ac:dyDescent="0.25">
      <c r="A16" s="361" t="s">
        <v>6</v>
      </c>
      <c r="B16" s="26">
        <f>SUM(B2:B14)+6.64+1.37+21.86+7.02+18.63+8.5+9.34</f>
        <v>474.76</v>
      </c>
      <c r="C16" s="26">
        <f>SUM(C2:C14)+6.3+1.37+20.91+7.02+16.27+6.56+7.76</f>
        <v>398.8</v>
      </c>
      <c r="D16" s="26">
        <f>SUM(D2:D14)</f>
        <v>75.960000000000008</v>
      </c>
      <c r="E16" s="362"/>
      <c r="F16" s="362">
        <f>SUM(F2:F14)</f>
        <v>1650.6799999999996</v>
      </c>
      <c r="G16" s="363">
        <f>C16/F16</f>
        <v>0.24159740228269569</v>
      </c>
      <c r="H16" s="14"/>
    </row>
    <row r="17" spans="1:8" x14ac:dyDescent="0.25">
      <c r="B17" s="2"/>
      <c r="E17" s="105"/>
      <c r="F17" s="105"/>
      <c r="H17" s="14"/>
    </row>
    <row r="18" spans="1:8" x14ac:dyDescent="0.25">
      <c r="B18" s="76"/>
    </row>
    <row r="19" spans="1:8" x14ac:dyDescent="0.25">
      <c r="A19" s="3" t="s">
        <v>1317</v>
      </c>
      <c r="C19" s="2"/>
    </row>
    <row r="20" spans="1:8" x14ac:dyDescent="0.25">
      <c r="C20" s="2"/>
    </row>
    <row r="21" spans="1:8" x14ac:dyDescent="0.25">
      <c r="C21" s="2"/>
    </row>
    <row r="22" spans="1:8" x14ac:dyDescent="0.25">
      <c r="C22" s="2"/>
    </row>
    <row r="23" spans="1:8" x14ac:dyDescent="0.25">
      <c r="C23" s="13"/>
    </row>
    <row r="25" spans="1:8" x14ac:dyDescent="0.25">
      <c r="B25" s="14"/>
      <c r="C25" s="6"/>
    </row>
    <row r="26" spans="1:8" x14ac:dyDescent="0.25">
      <c r="C26" s="2"/>
    </row>
    <row r="27" spans="1:8" x14ac:dyDescent="0.25">
      <c r="C27" s="2"/>
    </row>
    <row r="29" spans="1:8" x14ac:dyDescent="0.25">
      <c r="B29" s="3"/>
    </row>
    <row r="30" spans="1:8" x14ac:dyDescent="0.25">
      <c r="B30" s="17"/>
    </row>
    <row r="31" spans="1:8" x14ac:dyDescent="0.25">
      <c r="B31" s="12"/>
    </row>
  </sheetData>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7"/>
  <sheetViews>
    <sheetView workbookViewId="0"/>
  </sheetViews>
  <sheetFormatPr defaultRowHeight="15" x14ac:dyDescent="0.25"/>
  <cols>
    <col min="1" max="1" width="9.140625" style="38"/>
    <col min="2" max="2" width="12" style="107" customWidth="1"/>
    <col min="3" max="3" width="16.5703125" style="107" customWidth="1"/>
    <col min="4" max="4" width="38.5703125" style="107" customWidth="1"/>
    <col min="5" max="5" width="14.85546875" style="38" customWidth="1"/>
    <col min="6" max="6" width="14.85546875" style="154" customWidth="1"/>
    <col min="7" max="7" width="11.42578125" style="38" customWidth="1"/>
    <col min="8" max="8" width="14.42578125" style="38" customWidth="1"/>
    <col min="9" max="9" width="24.42578125" style="107" customWidth="1"/>
    <col min="10" max="10" width="82.140625" style="107" customWidth="1"/>
    <col min="11" max="12" width="11.5703125" style="107" bestFit="1" customWidth="1"/>
    <col min="13" max="16384" width="9.140625" style="107"/>
  </cols>
  <sheetData>
    <row r="1" spans="1:10" s="1" customFormat="1" ht="90" x14ac:dyDescent="0.25">
      <c r="A1" s="1" t="s">
        <v>0</v>
      </c>
      <c r="B1" s="1" t="s">
        <v>263</v>
      </c>
      <c r="C1" s="1" t="s">
        <v>264</v>
      </c>
      <c r="D1" s="1" t="s">
        <v>1</v>
      </c>
      <c r="E1" s="1" t="s">
        <v>5</v>
      </c>
      <c r="F1" s="334" t="s">
        <v>3</v>
      </c>
      <c r="G1" s="1" t="s">
        <v>2</v>
      </c>
      <c r="H1" s="48" t="s">
        <v>267</v>
      </c>
      <c r="I1" s="1" t="s">
        <v>4</v>
      </c>
      <c r="J1" s="1" t="s">
        <v>7</v>
      </c>
    </row>
    <row r="2" spans="1:10" ht="45" x14ac:dyDescent="0.25">
      <c r="A2" s="38" t="s">
        <v>323</v>
      </c>
      <c r="B2" s="107" t="s">
        <v>2307</v>
      </c>
      <c r="C2" s="107" t="s">
        <v>2322</v>
      </c>
      <c r="D2" s="107" t="s">
        <v>2319</v>
      </c>
      <c r="E2" s="178">
        <v>1197</v>
      </c>
      <c r="F2" s="154">
        <f>E2/5280</f>
        <v>0.22670454545454546</v>
      </c>
      <c r="G2" s="38">
        <v>1975</v>
      </c>
      <c r="H2" s="38">
        <v>1976</v>
      </c>
      <c r="I2" s="112" t="s">
        <v>1007</v>
      </c>
      <c r="J2" s="112" t="s">
        <v>2321</v>
      </c>
    </row>
    <row r="3" spans="1:10" ht="120" x14ac:dyDescent="0.25">
      <c r="A3" s="38" t="s">
        <v>323</v>
      </c>
      <c r="B3" s="107" t="s">
        <v>2307</v>
      </c>
      <c r="C3" s="107" t="s">
        <v>2322</v>
      </c>
      <c r="D3" s="107" t="s">
        <v>2318</v>
      </c>
      <c r="E3" s="178">
        <v>4928</v>
      </c>
      <c r="F3" s="154">
        <f t="shared" ref="F3:F70" si="0">E3/5280</f>
        <v>0.93333333333333335</v>
      </c>
      <c r="G3" s="38">
        <v>1945</v>
      </c>
      <c r="H3" s="109" t="s">
        <v>2323</v>
      </c>
      <c r="I3" s="112" t="s">
        <v>1007</v>
      </c>
      <c r="J3" s="112" t="s">
        <v>2320</v>
      </c>
    </row>
    <row r="4" spans="1:10" ht="90" x14ac:dyDescent="0.25">
      <c r="A4" s="38" t="s">
        <v>323</v>
      </c>
      <c r="B4" s="107" t="s">
        <v>2307</v>
      </c>
      <c r="C4" s="107" t="s">
        <v>2311</v>
      </c>
      <c r="D4" s="107" t="s">
        <v>324</v>
      </c>
      <c r="E4" s="178">
        <v>45223</v>
      </c>
      <c r="F4" s="335">
        <f t="shared" si="0"/>
        <v>8.5649621212121207</v>
      </c>
      <c r="G4" s="38">
        <v>1962</v>
      </c>
      <c r="H4" s="38" t="s">
        <v>2334</v>
      </c>
      <c r="I4" s="107" t="s">
        <v>2308</v>
      </c>
      <c r="J4" s="112" t="s">
        <v>2335</v>
      </c>
    </row>
    <row r="5" spans="1:10" ht="90" x14ac:dyDescent="0.25">
      <c r="A5" s="38" t="s">
        <v>323</v>
      </c>
      <c r="B5" s="104" t="s">
        <v>2307</v>
      </c>
      <c r="C5" s="57" t="s">
        <v>2309</v>
      </c>
      <c r="D5" s="83" t="s">
        <v>2315</v>
      </c>
      <c r="E5" s="10" t="s">
        <v>249</v>
      </c>
      <c r="F5" s="133" t="s">
        <v>853</v>
      </c>
      <c r="G5" s="38" t="s">
        <v>2259</v>
      </c>
      <c r="H5" s="38">
        <v>2013</v>
      </c>
      <c r="I5" s="57" t="s">
        <v>2316</v>
      </c>
      <c r="J5" s="57" t="s">
        <v>2317</v>
      </c>
    </row>
    <row r="6" spans="1:10" s="144" customFormat="1" ht="75" x14ac:dyDescent="0.25">
      <c r="A6" s="152" t="s">
        <v>323</v>
      </c>
      <c r="B6" s="279" t="s">
        <v>2307</v>
      </c>
      <c r="C6" s="151" t="s">
        <v>2309</v>
      </c>
      <c r="D6" s="151" t="s">
        <v>2310</v>
      </c>
      <c r="E6" s="281">
        <v>471</v>
      </c>
      <c r="F6" s="240" t="s">
        <v>853</v>
      </c>
      <c r="G6" s="152" t="s">
        <v>2259</v>
      </c>
      <c r="H6" s="152" t="s">
        <v>2312</v>
      </c>
      <c r="I6" s="151" t="s">
        <v>2313</v>
      </c>
      <c r="J6" s="151" t="s">
        <v>2314</v>
      </c>
    </row>
    <row r="7" spans="1:10" ht="45" x14ac:dyDescent="0.25">
      <c r="A7" s="38" t="s">
        <v>323</v>
      </c>
      <c r="B7" s="104" t="s">
        <v>2307</v>
      </c>
      <c r="C7" s="57" t="s">
        <v>2309</v>
      </c>
      <c r="D7" s="83" t="s">
        <v>2324</v>
      </c>
      <c r="E7" s="10">
        <v>576</v>
      </c>
      <c r="F7" s="133" t="s">
        <v>853</v>
      </c>
      <c r="G7" s="38" t="s">
        <v>2259</v>
      </c>
      <c r="H7" s="38">
        <v>2013</v>
      </c>
      <c r="I7" s="57" t="s">
        <v>1280</v>
      </c>
      <c r="J7" s="57" t="s">
        <v>2325</v>
      </c>
    </row>
    <row r="8" spans="1:10" ht="45" x14ac:dyDescent="0.25">
      <c r="A8" s="38" t="s">
        <v>323</v>
      </c>
      <c r="B8" s="107" t="s">
        <v>2307</v>
      </c>
      <c r="C8" s="57" t="s">
        <v>2309</v>
      </c>
      <c r="D8" s="11" t="s">
        <v>2327</v>
      </c>
      <c r="E8" s="10">
        <v>494</v>
      </c>
      <c r="F8" s="133" t="s">
        <v>853</v>
      </c>
      <c r="G8" s="38" t="s">
        <v>2259</v>
      </c>
      <c r="H8" s="38">
        <v>2013</v>
      </c>
      <c r="I8" s="57" t="s">
        <v>1280</v>
      </c>
      <c r="J8" s="57" t="s">
        <v>2326</v>
      </c>
    </row>
    <row r="9" spans="1:10" ht="45" x14ac:dyDescent="0.25">
      <c r="A9" s="38" t="s">
        <v>323</v>
      </c>
      <c r="B9" s="11" t="s">
        <v>2307</v>
      </c>
      <c r="C9" s="57" t="s">
        <v>325</v>
      </c>
      <c r="D9" s="83" t="s">
        <v>2328</v>
      </c>
      <c r="E9" s="10" t="s">
        <v>249</v>
      </c>
      <c r="F9" s="133" t="s">
        <v>853</v>
      </c>
      <c r="G9" s="38" t="s">
        <v>2259</v>
      </c>
      <c r="H9" s="10">
        <v>2014</v>
      </c>
      <c r="I9" s="57" t="s">
        <v>2331</v>
      </c>
      <c r="J9" s="57" t="s">
        <v>2332</v>
      </c>
    </row>
    <row r="10" spans="1:10" ht="45" x14ac:dyDescent="0.25">
      <c r="A10" s="38" t="s">
        <v>323</v>
      </c>
      <c r="B10" s="11" t="s">
        <v>2307</v>
      </c>
      <c r="C10" s="57" t="s">
        <v>325</v>
      </c>
      <c r="D10" s="83" t="s">
        <v>2329</v>
      </c>
      <c r="E10" s="10">
        <v>138</v>
      </c>
      <c r="F10" s="133" t="s">
        <v>853</v>
      </c>
      <c r="G10" s="38" t="s">
        <v>2259</v>
      </c>
      <c r="H10" s="344" t="s">
        <v>2330</v>
      </c>
      <c r="I10" s="57" t="s">
        <v>1280</v>
      </c>
      <c r="J10" s="57" t="s">
        <v>2333</v>
      </c>
    </row>
    <row r="11" spans="1:10" ht="45" x14ac:dyDescent="0.25">
      <c r="A11" s="38" t="s">
        <v>323</v>
      </c>
      <c r="B11" s="107" t="s">
        <v>2307</v>
      </c>
      <c r="C11" s="107" t="s">
        <v>326</v>
      </c>
      <c r="D11" s="107" t="s">
        <v>2341</v>
      </c>
      <c r="E11" s="179">
        <v>17423</v>
      </c>
      <c r="F11" s="154" t="s">
        <v>853</v>
      </c>
      <c r="G11" s="38">
        <v>1943</v>
      </c>
      <c r="H11" s="38" t="s">
        <v>327</v>
      </c>
      <c r="I11" s="107" t="s">
        <v>1008</v>
      </c>
      <c r="J11" s="107" t="s">
        <v>328</v>
      </c>
    </row>
    <row r="12" spans="1:10" s="57" customFormat="1" ht="120" x14ac:dyDescent="0.25">
      <c r="A12" s="150" t="s">
        <v>323</v>
      </c>
      <c r="B12" s="57" t="s">
        <v>2307</v>
      </c>
      <c r="C12" s="57" t="s">
        <v>2336</v>
      </c>
      <c r="D12" s="83" t="s">
        <v>2340</v>
      </c>
      <c r="E12" s="338">
        <v>17024</v>
      </c>
      <c r="F12" s="345">
        <f>E12/5280</f>
        <v>3.2242424242424241</v>
      </c>
      <c r="G12" s="150" t="s">
        <v>2337</v>
      </c>
      <c r="H12" s="150"/>
      <c r="I12" s="57" t="s">
        <v>2339</v>
      </c>
      <c r="J12" s="83" t="s">
        <v>2338</v>
      </c>
    </row>
    <row r="13" spans="1:10" ht="75" x14ac:dyDescent="0.25">
      <c r="A13" s="38" t="s">
        <v>323</v>
      </c>
      <c r="B13" s="107" t="s">
        <v>2307</v>
      </c>
      <c r="C13" s="107" t="s">
        <v>2342</v>
      </c>
      <c r="D13" s="107" t="s">
        <v>2343</v>
      </c>
      <c r="E13" s="178">
        <v>16000</v>
      </c>
      <c r="F13" s="335">
        <f>E13/5280</f>
        <v>3.0303030303030303</v>
      </c>
      <c r="G13" s="38" t="s">
        <v>2348</v>
      </c>
      <c r="H13" s="109" t="s">
        <v>2347</v>
      </c>
      <c r="I13" s="107" t="s">
        <v>2344</v>
      </c>
      <c r="J13" s="107" t="s">
        <v>329</v>
      </c>
    </row>
    <row r="14" spans="1:10" ht="45" x14ac:dyDescent="0.25">
      <c r="A14" s="38" t="s">
        <v>323</v>
      </c>
      <c r="B14" s="107" t="s">
        <v>2307</v>
      </c>
      <c r="C14" s="107" t="s">
        <v>330</v>
      </c>
      <c r="D14" s="107" t="s">
        <v>2357</v>
      </c>
      <c r="E14" s="179" t="s">
        <v>249</v>
      </c>
      <c r="F14" s="154" t="s">
        <v>853</v>
      </c>
      <c r="G14" s="38">
        <v>1958</v>
      </c>
      <c r="H14" s="38">
        <v>1960</v>
      </c>
      <c r="I14" s="107" t="s">
        <v>293</v>
      </c>
    </row>
    <row r="15" spans="1:10" ht="60" x14ac:dyDescent="0.25">
      <c r="A15" s="38" t="s">
        <v>323</v>
      </c>
      <c r="B15" s="107" t="s">
        <v>2307</v>
      </c>
      <c r="C15" s="107" t="s">
        <v>331</v>
      </c>
      <c r="D15" s="107" t="s">
        <v>2350</v>
      </c>
      <c r="E15" s="338">
        <v>1131</v>
      </c>
      <c r="F15" s="154" t="s">
        <v>853</v>
      </c>
      <c r="G15" s="38">
        <v>1947</v>
      </c>
      <c r="H15" s="38" t="s">
        <v>2351</v>
      </c>
      <c r="I15" s="107" t="s">
        <v>2353</v>
      </c>
      <c r="J15" s="107" t="s">
        <v>2352</v>
      </c>
    </row>
    <row r="16" spans="1:10" ht="60" x14ac:dyDescent="0.25">
      <c r="A16" s="38" t="s">
        <v>323</v>
      </c>
      <c r="B16" s="107" t="s">
        <v>2307</v>
      </c>
      <c r="C16" s="107" t="s">
        <v>331</v>
      </c>
      <c r="D16" s="107" t="s">
        <v>2356</v>
      </c>
      <c r="E16" s="338">
        <v>1130</v>
      </c>
      <c r="F16" s="154" t="s">
        <v>319</v>
      </c>
      <c r="G16" s="38">
        <v>2014</v>
      </c>
      <c r="I16" s="107" t="s">
        <v>2354</v>
      </c>
      <c r="J16" s="107" t="s">
        <v>2355</v>
      </c>
    </row>
    <row r="17" spans="1:10" ht="90" x14ac:dyDescent="0.25">
      <c r="A17" s="38" t="s">
        <v>323</v>
      </c>
      <c r="B17" s="107" t="s">
        <v>2307</v>
      </c>
      <c r="C17" s="107" t="s">
        <v>2345</v>
      </c>
      <c r="D17" s="107" t="s">
        <v>2346</v>
      </c>
      <c r="E17" s="178">
        <v>31300</v>
      </c>
      <c r="F17" s="335">
        <f>E17/5280</f>
        <v>5.9280303030303028</v>
      </c>
      <c r="G17" s="38" t="s">
        <v>2348</v>
      </c>
      <c r="H17" s="109" t="s">
        <v>2349</v>
      </c>
      <c r="I17" s="107" t="s">
        <v>2371</v>
      </c>
      <c r="J17" s="107" t="s">
        <v>329</v>
      </c>
    </row>
    <row r="18" spans="1:10" ht="60" x14ac:dyDescent="0.25">
      <c r="A18" s="38" t="s">
        <v>323</v>
      </c>
      <c r="B18" s="107" t="s">
        <v>2366</v>
      </c>
      <c r="C18" s="107" t="s">
        <v>332</v>
      </c>
      <c r="D18" s="107" t="s">
        <v>2358</v>
      </c>
      <c r="E18" s="179">
        <v>1307</v>
      </c>
      <c r="F18" s="154" t="s">
        <v>853</v>
      </c>
      <c r="G18" s="38">
        <v>1958</v>
      </c>
      <c r="H18" s="38" t="s">
        <v>333</v>
      </c>
      <c r="I18" s="107" t="s">
        <v>1009</v>
      </c>
      <c r="J18" s="112" t="s">
        <v>2359</v>
      </c>
    </row>
    <row r="19" spans="1:10" ht="45" x14ac:dyDescent="0.25">
      <c r="A19" s="38" t="s">
        <v>323</v>
      </c>
      <c r="B19" s="107" t="s">
        <v>2366</v>
      </c>
      <c r="C19" s="107" t="s">
        <v>334</v>
      </c>
      <c r="D19" s="107" t="s">
        <v>2360</v>
      </c>
      <c r="E19" s="179">
        <v>5167</v>
      </c>
      <c r="F19" s="154" t="s">
        <v>853</v>
      </c>
      <c r="G19" s="38">
        <v>1959</v>
      </c>
      <c r="H19" s="38" t="s">
        <v>335</v>
      </c>
      <c r="I19" s="107" t="s">
        <v>1009</v>
      </c>
      <c r="J19" s="107" t="s">
        <v>336</v>
      </c>
    </row>
    <row r="20" spans="1:10" ht="90" x14ac:dyDescent="0.25">
      <c r="A20" s="38" t="s">
        <v>323</v>
      </c>
      <c r="B20" s="104" t="s">
        <v>2366</v>
      </c>
      <c r="C20" s="107" t="s">
        <v>334</v>
      </c>
      <c r="D20" s="112" t="s">
        <v>2363</v>
      </c>
      <c r="E20" s="16">
        <v>2300</v>
      </c>
      <c r="F20" s="258" t="s">
        <v>853</v>
      </c>
      <c r="G20" s="38">
        <v>2014</v>
      </c>
      <c r="I20" s="107" t="s">
        <v>2361</v>
      </c>
      <c r="J20" s="107" t="s">
        <v>2362</v>
      </c>
    </row>
    <row r="21" spans="1:10" ht="90" x14ac:dyDescent="0.25">
      <c r="A21" s="38" t="s">
        <v>323</v>
      </c>
      <c r="B21" s="104" t="s">
        <v>2366</v>
      </c>
      <c r="C21" s="107" t="s">
        <v>334</v>
      </c>
      <c r="D21" s="112" t="s">
        <v>2364</v>
      </c>
      <c r="E21" s="16">
        <v>165</v>
      </c>
      <c r="F21" s="258" t="s">
        <v>853</v>
      </c>
      <c r="G21" s="38">
        <v>2014</v>
      </c>
      <c r="I21" s="107" t="s">
        <v>2361</v>
      </c>
      <c r="J21" s="107" t="s">
        <v>2362</v>
      </c>
    </row>
    <row r="22" spans="1:10" ht="45" x14ac:dyDescent="0.25">
      <c r="A22" s="38" t="s">
        <v>323</v>
      </c>
      <c r="B22" s="107" t="s">
        <v>2366</v>
      </c>
      <c r="C22" s="107" t="s">
        <v>337</v>
      </c>
      <c r="D22" s="107" t="s">
        <v>2365</v>
      </c>
      <c r="E22" s="179">
        <v>1260</v>
      </c>
      <c r="F22" s="154" t="s">
        <v>853</v>
      </c>
      <c r="G22" s="38">
        <v>1962</v>
      </c>
      <c r="H22" s="38" t="s">
        <v>338</v>
      </c>
      <c r="I22" s="107" t="s">
        <v>293</v>
      </c>
      <c r="J22" s="107" t="s">
        <v>339</v>
      </c>
    </row>
    <row r="23" spans="1:10" s="144" customFormat="1" ht="135" x14ac:dyDescent="0.25">
      <c r="A23" s="152" t="s">
        <v>323</v>
      </c>
      <c r="B23" s="144" t="s">
        <v>2366</v>
      </c>
      <c r="C23" s="144" t="s">
        <v>2367</v>
      </c>
      <c r="D23" s="151" t="s">
        <v>2368</v>
      </c>
      <c r="E23" s="336">
        <v>73475</v>
      </c>
      <c r="F23" s="337">
        <f>E23/5280-SUM(F24:F30)</f>
        <v>11.044507575757576</v>
      </c>
      <c r="G23" s="152" t="s">
        <v>154</v>
      </c>
      <c r="H23" s="152"/>
      <c r="I23" s="144" t="s">
        <v>2369</v>
      </c>
      <c r="J23" s="144" t="s">
        <v>2386</v>
      </c>
    </row>
    <row r="24" spans="1:10" s="83" customFormat="1" x14ac:dyDescent="0.25">
      <c r="A24" s="38" t="s">
        <v>323</v>
      </c>
      <c r="B24" s="107" t="s">
        <v>2366</v>
      </c>
      <c r="C24" s="107" t="s">
        <v>340</v>
      </c>
      <c r="D24" s="83" t="s">
        <v>2370</v>
      </c>
      <c r="E24" s="338">
        <v>3600</v>
      </c>
      <c r="F24" s="154">
        <f t="shared" si="0"/>
        <v>0.68181818181818177</v>
      </c>
      <c r="G24" s="86">
        <v>1963</v>
      </c>
      <c r="H24" s="86"/>
      <c r="I24" s="83" t="s">
        <v>293</v>
      </c>
      <c r="J24" s="83" t="s">
        <v>341</v>
      </c>
    </row>
    <row r="25" spans="1:10" s="83" customFormat="1" ht="45" x14ac:dyDescent="0.25">
      <c r="A25" s="38" t="s">
        <v>323</v>
      </c>
      <c r="B25" s="11" t="s">
        <v>2366</v>
      </c>
      <c r="C25" s="57" t="s">
        <v>342</v>
      </c>
      <c r="D25" s="83" t="s">
        <v>2387</v>
      </c>
      <c r="E25" s="249">
        <v>5264</v>
      </c>
      <c r="F25" s="18">
        <f t="shared" si="0"/>
        <v>0.99696969696969695</v>
      </c>
      <c r="G25" s="86">
        <v>2013</v>
      </c>
      <c r="H25" s="86"/>
      <c r="I25" s="83" t="s">
        <v>1280</v>
      </c>
      <c r="J25" s="83" t="s">
        <v>2372</v>
      </c>
    </row>
    <row r="26" spans="1:10" s="83" customFormat="1" ht="45" x14ac:dyDescent="0.25">
      <c r="A26" s="38" t="s">
        <v>323</v>
      </c>
      <c r="B26" s="107" t="s">
        <v>2366</v>
      </c>
      <c r="C26" s="107" t="s">
        <v>342</v>
      </c>
      <c r="D26" s="83" t="s">
        <v>2374</v>
      </c>
      <c r="E26" s="338">
        <v>5061</v>
      </c>
      <c r="F26" s="154" t="s">
        <v>853</v>
      </c>
      <c r="G26" s="86" t="s">
        <v>2376</v>
      </c>
      <c r="H26" s="86" t="s">
        <v>343</v>
      </c>
      <c r="I26" s="83" t="s">
        <v>293</v>
      </c>
      <c r="J26" s="83" t="s">
        <v>2375</v>
      </c>
    </row>
    <row r="27" spans="1:10" s="83" customFormat="1" ht="30" x14ac:dyDescent="0.25">
      <c r="A27" s="38" t="s">
        <v>323</v>
      </c>
      <c r="B27" s="107" t="s">
        <v>2366</v>
      </c>
      <c r="C27" s="107" t="s">
        <v>342</v>
      </c>
      <c r="D27" s="83" t="s">
        <v>2373</v>
      </c>
      <c r="E27" s="338">
        <v>4540</v>
      </c>
      <c r="F27" s="154">
        <f>1440/5280</f>
        <v>0.27272727272727271</v>
      </c>
      <c r="G27" s="86">
        <v>1953</v>
      </c>
      <c r="H27" s="86" t="s">
        <v>343</v>
      </c>
      <c r="I27" s="83" t="s">
        <v>293</v>
      </c>
      <c r="J27" s="83" t="s">
        <v>2377</v>
      </c>
    </row>
    <row r="28" spans="1:10" s="83" customFormat="1" ht="75" x14ac:dyDescent="0.25">
      <c r="A28" s="38" t="s">
        <v>323</v>
      </c>
      <c r="B28" s="11" t="s">
        <v>2366</v>
      </c>
      <c r="C28" s="57" t="s">
        <v>2378</v>
      </c>
      <c r="D28" s="83" t="s">
        <v>2379</v>
      </c>
      <c r="E28" s="249">
        <f>1213</f>
        <v>1213</v>
      </c>
      <c r="F28" s="18">
        <f>E28/5280</f>
        <v>0.22973484848484849</v>
      </c>
      <c r="G28" s="86">
        <v>2013</v>
      </c>
      <c r="H28" s="86"/>
      <c r="I28" s="57" t="s">
        <v>2380</v>
      </c>
      <c r="J28" s="57" t="s">
        <v>2381</v>
      </c>
    </row>
    <row r="29" spans="1:10" s="57" customFormat="1" ht="30" x14ac:dyDescent="0.25">
      <c r="A29" s="38" t="s">
        <v>323</v>
      </c>
      <c r="B29" s="107" t="s">
        <v>2366</v>
      </c>
      <c r="C29" s="107" t="s">
        <v>344</v>
      </c>
      <c r="D29" s="83" t="s">
        <v>2382</v>
      </c>
      <c r="E29" s="338">
        <v>2027</v>
      </c>
      <c r="F29" s="154">
        <f t="shared" si="0"/>
        <v>0.38390151515151516</v>
      </c>
      <c r="G29" s="150">
        <v>1963</v>
      </c>
      <c r="H29" s="150"/>
      <c r="I29" s="57" t="s">
        <v>293</v>
      </c>
      <c r="J29" s="57" t="s">
        <v>345</v>
      </c>
    </row>
    <row r="30" spans="1:10" s="83" customFormat="1" ht="45" x14ac:dyDescent="0.25">
      <c r="A30" s="38" t="s">
        <v>323</v>
      </c>
      <c r="B30" s="107" t="s">
        <v>2366</v>
      </c>
      <c r="C30" s="107" t="s">
        <v>346</v>
      </c>
      <c r="D30" s="83" t="s">
        <v>2383</v>
      </c>
      <c r="E30" s="338">
        <v>1616</v>
      </c>
      <c r="F30" s="154">
        <f t="shared" si="0"/>
        <v>0.30606060606060603</v>
      </c>
      <c r="G30" s="86">
        <v>1963</v>
      </c>
      <c r="H30" s="86" t="s">
        <v>347</v>
      </c>
      <c r="I30" s="83" t="s">
        <v>293</v>
      </c>
      <c r="J30" s="83" t="s">
        <v>2385</v>
      </c>
    </row>
    <row r="31" spans="1:10" ht="60" x14ac:dyDescent="0.25">
      <c r="A31" s="38" t="s">
        <v>323</v>
      </c>
      <c r="B31" s="107" t="s">
        <v>2366</v>
      </c>
      <c r="C31" s="107" t="s">
        <v>2384</v>
      </c>
      <c r="D31" s="107" t="s">
        <v>2388</v>
      </c>
      <c r="E31" s="179">
        <v>2500</v>
      </c>
      <c r="F31" s="154">
        <f t="shared" si="0"/>
        <v>0.47348484848484851</v>
      </c>
      <c r="G31" s="38">
        <v>1955</v>
      </c>
      <c r="H31" s="38">
        <v>1962</v>
      </c>
      <c r="I31" s="107" t="s">
        <v>293</v>
      </c>
      <c r="J31" s="107" t="s">
        <v>2389</v>
      </c>
    </row>
    <row r="32" spans="1:10" ht="60" x14ac:dyDescent="0.25">
      <c r="A32" s="38" t="s">
        <v>323</v>
      </c>
      <c r="B32" s="107" t="s">
        <v>2366</v>
      </c>
      <c r="C32" s="107" t="s">
        <v>348</v>
      </c>
      <c r="D32" s="107" t="s">
        <v>2390</v>
      </c>
      <c r="E32" s="180">
        <v>8475</v>
      </c>
      <c r="F32" s="335">
        <f t="shared" si="0"/>
        <v>1.6051136363636365</v>
      </c>
      <c r="G32" s="38">
        <v>1962</v>
      </c>
      <c r="H32" s="38" t="s">
        <v>349</v>
      </c>
      <c r="I32" s="112" t="s">
        <v>1010</v>
      </c>
      <c r="J32" s="107" t="s">
        <v>2393</v>
      </c>
    </row>
    <row r="33" spans="1:10" ht="60" x14ac:dyDescent="0.25">
      <c r="A33" s="38" t="s">
        <v>323</v>
      </c>
      <c r="B33" s="107" t="s">
        <v>2366</v>
      </c>
      <c r="C33" s="107" t="s">
        <v>348</v>
      </c>
      <c r="D33" s="107" t="s">
        <v>2391</v>
      </c>
      <c r="E33" s="180">
        <v>3383</v>
      </c>
      <c r="F33" s="335" t="s">
        <v>853</v>
      </c>
      <c r="G33" s="38">
        <v>1962</v>
      </c>
      <c r="H33" s="38" t="s">
        <v>2398</v>
      </c>
      <c r="I33" s="112" t="s">
        <v>2392</v>
      </c>
      <c r="J33" s="107" t="s">
        <v>2393</v>
      </c>
    </row>
    <row r="34" spans="1:10" ht="105" x14ac:dyDescent="0.25">
      <c r="A34" s="38" t="s">
        <v>323</v>
      </c>
      <c r="B34" s="107" t="s">
        <v>2366</v>
      </c>
      <c r="C34" s="107" t="s">
        <v>2394</v>
      </c>
      <c r="D34" s="107" t="s">
        <v>2402</v>
      </c>
      <c r="E34" s="180">
        <v>10988</v>
      </c>
      <c r="F34" s="335">
        <f>E34/5280</f>
        <v>2.0810606060606061</v>
      </c>
      <c r="G34" s="38" t="s">
        <v>2259</v>
      </c>
      <c r="H34" s="38" t="s">
        <v>908</v>
      </c>
      <c r="I34" s="112" t="s">
        <v>2395</v>
      </c>
      <c r="J34" s="107" t="s">
        <v>2396</v>
      </c>
    </row>
    <row r="35" spans="1:10" ht="75" x14ac:dyDescent="0.25">
      <c r="A35" s="38" t="s">
        <v>323</v>
      </c>
      <c r="B35" s="107" t="s">
        <v>2366</v>
      </c>
      <c r="C35" s="107" t="s">
        <v>2394</v>
      </c>
      <c r="D35" s="107" t="s">
        <v>2397</v>
      </c>
      <c r="E35" s="180">
        <v>4200</v>
      </c>
      <c r="F35" s="335" t="s">
        <v>853</v>
      </c>
      <c r="G35" s="38">
        <v>1956</v>
      </c>
      <c r="H35" s="38" t="s">
        <v>2401</v>
      </c>
      <c r="I35" s="112" t="s">
        <v>2400</v>
      </c>
      <c r="J35" s="107" t="s">
        <v>2399</v>
      </c>
    </row>
    <row r="36" spans="1:10" ht="135" x14ac:dyDescent="0.25">
      <c r="A36" s="38" t="s">
        <v>323</v>
      </c>
      <c r="B36" s="107" t="s">
        <v>2366</v>
      </c>
      <c r="C36" s="107" t="s">
        <v>351</v>
      </c>
      <c r="D36" s="107" t="s">
        <v>352</v>
      </c>
      <c r="E36" s="178">
        <v>10441</v>
      </c>
      <c r="F36" s="154">
        <f>E36/5280</f>
        <v>1.9774621212121213</v>
      </c>
      <c r="G36" s="38" t="s">
        <v>2407</v>
      </c>
      <c r="H36" s="109" t="s">
        <v>2408</v>
      </c>
      <c r="I36" s="107" t="s">
        <v>2403</v>
      </c>
      <c r="J36" s="107" t="s">
        <v>2404</v>
      </c>
    </row>
    <row r="37" spans="1:10" ht="90" x14ac:dyDescent="0.25">
      <c r="A37" s="38" t="s">
        <v>323</v>
      </c>
      <c r="B37" s="107" t="s">
        <v>2366</v>
      </c>
      <c r="C37" s="107" t="s">
        <v>351</v>
      </c>
      <c r="D37" s="107" t="s">
        <v>2410</v>
      </c>
      <c r="E37" s="179">
        <v>10179</v>
      </c>
      <c r="F37" s="154" t="s">
        <v>853</v>
      </c>
      <c r="G37" s="38" t="s">
        <v>2259</v>
      </c>
      <c r="H37" s="38" t="s">
        <v>2411</v>
      </c>
      <c r="I37" s="107" t="s">
        <v>2412</v>
      </c>
      <c r="J37" s="107" t="s">
        <v>2413</v>
      </c>
    </row>
    <row r="38" spans="1:10" ht="75" x14ac:dyDescent="0.25">
      <c r="A38" s="38" t="s">
        <v>323</v>
      </c>
      <c r="B38" s="107" t="s">
        <v>2366</v>
      </c>
      <c r="C38" s="107" t="s">
        <v>351</v>
      </c>
      <c r="D38" s="107" t="s">
        <v>2405</v>
      </c>
      <c r="E38" s="180">
        <v>788</v>
      </c>
      <c r="F38" s="335" t="s">
        <v>853</v>
      </c>
      <c r="G38" s="38">
        <v>1954</v>
      </c>
      <c r="H38" s="38" t="s">
        <v>2406</v>
      </c>
      <c r="I38" s="107" t="s">
        <v>1011</v>
      </c>
      <c r="J38" s="107" t="s">
        <v>2409</v>
      </c>
    </row>
    <row r="39" spans="1:10" ht="45" x14ac:dyDescent="0.25">
      <c r="A39" s="38" t="s">
        <v>323</v>
      </c>
      <c r="B39" s="107" t="s">
        <v>2366</v>
      </c>
      <c r="C39" s="107" t="s">
        <v>2415</v>
      </c>
      <c r="D39" s="107" t="s">
        <v>2414</v>
      </c>
      <c r="E39" s="178">
        <v>3700</v>
      </c>
      <c r="F39" s="154" t="s">
        <v>853</v>
      </c>
      <c r="G39" s="38">
        <v>1963</v>
      </c>
      <c r="H39" s="39"/>
      <c r="I39" s="107" t="s">
        <v>1011</v>
      </c>
      <c r="J39" s="107" t="s">
        <v>2416</v>
      </c>
    </row>
    <row r="40" spans="1:10" ht="75" x14ac:dyDescent="0.25">
      <c r="A40" s="38" t="s">
        <v>323</v>
      </c>
      <c r="B40" s="107" t="s">
        <v>2366</v>
      </c>
      <c r="C40" s="107" t="s">
        <v>2415</v>
      </c>
      <c r="D40" s="107" t="s">
        <v>2417</v>
      </c>
      <c r="E40" s="178">
        <v>6641</v>
      </c>
      <c r="F40" s="154">
        <f>E40/5280</f>
        <v>1.2577651515151516</v>
      </c>
      <c r="G40" s="38">
        <v>1963</v>
      </c>
      <c r="H40" s="109" t="s">
        <v>908</v>
      </c>
      <c r="I40" s="107" t="s">
        <v>2418</v>
      </c>
      <c r="J40" s="107" t="s">
        <v>2419</v>
      </c>
    </row>
    <row r="41" spans="1:10" ht="75" x14ac:dyDescent="0.25">
      <c r="A41" s="38" t="s">
        <v>323</v>
      </c>
      <c r="B41" s="107" t="s">
        <v>2366</v>
      </c>
      <c r="C41" s="107" t="s">
        <v>353</v>
      </c>
      <c r="D41" s="107" t="s">
        <v>2421</v>
      </c>
      <c r="E41" s="346">
        <v>7464</v>
      </c>
      <c r="F41" s="154">
        <f>E42/5280</f>
        <v>1.5340909090909092</v>
      </c>
      <c r="G41" s="38">
        <v>1962</v>
      </c>
      <c r="H41" s="38" t="s">
        <v>2424</v>
      </c>
      <c r="I41" s="107" t="s">
        <v>2422</v>
      </c>
      <c r="J41" s="107" t="s">
        <v>2425</v>
      </c>
    </row>
    <row r="42" spans="1:10" ht="75" x14ac:dyDescent="0.25">
      <c r="A42" s="38" t="s">
        <v>323</v>
      </c>
      <c r="B42" s="107" t="s">
        <v>2366</v>
      </c>
      <c r="C42" s="107" t="s">
        <v>2420</v>
      </c>
      <c r="D42" s="107" t="s">
        <v>2423</v>
      </c>
      <c r="E42" s="178">
        <v>8100</v>
      </c>
      <c r="F42" s="154" t="s">
        <v>853</v>
      </c>
      <c r="G42" s="38">
        <v>1962</v>
      </c>
      <c r="H42" s="38" t="s">
        <v>2424</v>
      </c>
      <c r="I42" s="107" t="s">
        <v>2422</v>
      </c>
      <c r="J42" s="107" t="s">
        <v>2425</v>
      </c>
    </row>
    <row r="43" spans="1:10" ht="45" x14ac:dyDescent="0.25">
      <c r="A43" s="38" t="s">
        <v>323</v>
      </c>
      <c r="B43" s="107" t="s">
        <v>2366</v>
      </c>
      <c r="C43" s="107" t="s">
        <v>354</v>
      </c>
      <c r="D43" s="107" t="s">
        <v>2426</v>
      </c>
      <c r="E43" s="179">
        <v>7126</v>
      </c>
      <c r="F43" s="154" t="s">
        <v>853</v>
      </c>
      <c r="G43" s="38">
        <v>1956</v>
      </c>
      <c r="H43" s="38" t="s">
        <v>2428</v>
      </c>
      <c r="I43" s="107" t="s">
        <v>1011</v>
      </c>
      <c r="J43" s="107" t="s">
        <v>355</v>
      </c>
    </row>
    <row r="44" spans="1:10" ht="120" x14ac:dyDescent="0.25">
      <c r="A44" s="38" t="s">
        <v>323</v>
      </c>
      <c r="B44" s="107" t="s">
        <v>2366</v>
      </c>
      <c r="C44" s="107" t="s">
        <v>354</v>
      </c>
      <c r="D44" s="107" t="s">
        <v>2429</v>
      </c>
      <c r="E44" s="347">
        <v>7309</v>
      </c>
      <c r="F44" s="154">
        <f>E44/5280</f>
        <v>1.384280303030303</v>
      </c>
      <c r="G44" s="38">
        <v>1956</v>
      </c>
      <c r="H44" s="38" t="s">
        <v>2428</v>
      </c>
      <c r="I44" s="107" t="s">
        <v>2395</v>
      </c>
      <c r="J44" s="107" t="s">
        <v>2427</v>
      </c>
    </row>
    <row r="45" spans="1:10" s="57" customFormat="1" ht="60" x14ac:dyDescent="0.25">
      <c r="A45" s="150" t="s">
        <v>323</v>
      </c>
      <c r="B45" s="57" t="s">
        <v>2366</v>
      </c>
      <c r="C45" s="57" t="s">
        <v>2602</v>
      </c>
      <c r="D45" s="57" t="s">
        <v>2430</v>
      </c>
      <c r="E45" s="180">
        <v>5390</v>
      </c>
      <c r="F45" s="335">
        <f>(E45-187)/5280</f>
        <v>0.98541666666666672</v>
      </c>
      <c r="G45" s="150" t="s">
        <v>357</v>
      </c>
      <c r="H45" s="86">
        <v>2013</v>
      </c>
      <c r="I45" s="57" t="s">
        <v>2431</v>
      </c>
      <c r="J45" s="57" t="s">
        <v>2432</v>
      </c>
    </row>
    <row r="46" spans="1:10" ht="60" x14ac:dyDescent="0.25">
      <c r="A46" s="38" t="s">
        <v>323</v>
      </c>
      <c r="B46" s="107" t="s">
        <v>2366</v>
      </c>
      <c r="C46" s="57" t="s">
        <v>2602</v>
      </c>
      <c r="D46" s="107" t="s">
        <v>2433</v>
      </c>
      <c r="E46" s="238">
        <v>3250</v>
      </c>
      <c r="F46" s="154" t="s">
        <v>853</v>
      </c>
      <c r="G46" s="38">
        <v>1956</v>
      </c>
      <c r="H46" s="38" t="s">
        <v>356</v>
      </c>
      <c r="I46" s="107" t="s">
        <v>1011</v>
      </c>
      <c r="J46" s="107" t="s">
        <v>2434</v>
      </c>
    </row>
    <row r="47" spans="1:10" s="57" customFormat="1" ht="180" x14ac:dyDescent="0.25">
      <c r="A47" s="150" t="s">
        <v>323</v>
      </c>
      <c r="B47" s="57" t="s">
        <v>2366</v>
      </c>
      <c r="C47" s="57" t="s">
        <v>2435</v>
      </c>
      <c r="D47" s="83" t="s">
        <v>2436</v>
      </c>
      <c r="E47" s="180">
        <v>38827</v>
      </c>
      <c r="F47" s="345">
        <f>E47/5280</f>
        <v>7.3535984848484848</v>
      </c>
      <c r="G47" s="150" t="s">
        <v>350</v>
      </c>
      <c r="H47" s="150" t="s">
        <v>2438</v>
      </c>
      <c r="I47" s="57" t="s">
        <v>2395</v>
      </c>
      <c r="J47" s="83" t="s">
        <v>2437</v>
      </c>
    </row>
    <row r="48" spans="1:10" ht="60" x14ac:dyDescent="0.25">
      <c r="A48" s="38" t="s">
        <v>323</v>
      </c>
      <c r="B48" s="107" t="s">
        <v>2366</v>
      </c>
      <c r="C48" s="107" t="s">
        <v>358</v>
      </c>
      <c r="D48" s="107" t="s">
        <v>2439</v>
      </c>
      <c r="E48" s="178">
        <v>9939</v>
      </c>
      <c r="F48" s="154" t="s">
        <v>853</v>
      </c>
      <c r="G48" s="38">
        <v>1962</v>
      </c>
      <c r="H48" s="38" t="s">
        <v>359</v>
      </c>
      <c r="I48" s="112" t="s">
        <v>1012</v>
      </c>
      <c r="J48" s="107" t="s">
        <v>360</v>
      </c>
    </row>
    <row r="49" spans="1:12" ht="45" x14ac:dyDescent="0.25">
      <c r="A49" s="38" t="s">
        <v>323</v>
      </c>
      <c r="B49" s="107" t="s">
        <v>2366</v>
      </c>
      <c r="C49" s="107" t="s">
        <v>358</v>
      </c>
      <c r="D49" s="107" t="s">
        <v>2440</v>
      </c>
      <c r="E49" s="38">
        <v>390</v>
      </c>
      <c r="F49" s="154" t="s">
        <v>853</v>
      </c>
      <c r="G49" s="38" t="s">
        <v>2259</v>
      </c>
      <c r="H49" s="38" t="s">
        <v>359</v>
      </c>
      <c r="I49" s="107" t="s">
        <v>2441</v>
      </c>
      <c r="J49" s="107" t="s">
        <v>2442</v>
      </c>
    </row>
    <row r="50" spans="1:12" s="57" customFormat="1" ht="45" x14ac:dyDescent="0.25">
      <c r="A50" s="38" t="s">
        <v>323</v>
      </c>
      <c r="B50" s="107" t="s">
        <v>2366</v>
      </c>
      <c r="C50" s="107" t="s">
        <v>361</v>
      </c>
      <c r="D50" s="57" t="s">
        <v>2444</v>
      </c>
      <c r="E50" s="180">
        <v>8000</v>
      </c>
      <c r="F50" s="154">
        <f>E50/5280</f>
        <v>1.5151515151515151</v>
      </c>
      <c r="G50" s="150">
        <v>1962</v>
      </c>
      <c r="H50" s="150"/>
      <c r="I50" s="57" t="s">
        <v>1011</v>
      </c>
      <c r="J50" s="57" t="s">
        <v>2443</v>
      </c>
    </row>
    <row r="51" spans="1:12" s="57" customFormat="1" ht="60" x14ac:dyDescent="0.25">
      <c r="A51" s="38" t="s">
        <v>323</v>
      </c>
      <c r="B51" s="107" t="s">
        <v>2445</v>
      </c>
      <c r="C51" s="107" t="s">
        <v>2448</v>
      </c>
      <c r="D51" s="57" t="s">
        <v>362</v>
      </c>
      <c r="E51" s="180">
        <v>17952</v>
      </c>
      <c r="F51" s="154">
        <f>E51/5280</f>
        <v>3.4</v>
      </c>
      <c r="G51" s="150">
        <v>1962</v>
      </c>
      <c r="H51" s="150" t="s">
        <v>2446</v>
      </c>
      <c r="I51" s="57" t="s">
        <v>1013</v>
      </c>
      <c r="J51" s="83" t="s">
        <v>2447</v>
      </c>
    </row>
    <row r="52" spans="1:12" s="57" customFormat="1" ht="60" x14ac:dyDescent="0.25">
      <c r="A52" s="38" t="s">
        <v>323</v>
      </c>
      <c r="B52" s="107" t="s">
        <v>2445</v>
      </c>
      <c r="C52" s="107" t="s">
        <v>2448</v>
      </c>
      <c r="D52" s="57" t="s">
        <v>2449</v>
      </c>
      <c r="E52" s="180">
        <v>1966</v>
      </c>
      <c r="F52" s="154">
        <f>E52/5280</f>
        <v>0.37234848484848487</v>
      </c>
      <c r="G52" s="150">
        <v>2007</v>
      </c>
      <c r="H52" s="150"/>
      <c r="I52" s="57" t="s">
        <v>363</v>
      </c>
      <c r="J52" s="83" t="s">
        <v>2453</v>
      </c>
    </row>
    <row r="53" spans="1:12" ht="45" x14ac:dyDescent="0.25">
      <c r="A53" s="38" t="s">
        <v>323</v>
      </c>
      <c r="B53" s="104" t="s">
        <v>2445</v>
      </c>
      <c r="C53" s="104" t="s">
        <v>2448</v>
      </c>
      <c r="D53" s="112" t="s">
        <v>2452</v>
      </c>
      <c r="E53" s="16">
        <v>414</v>
      </c>
      <c r="F53" s="258" t="s">
        <v>853</v>
      </c>
      <c r="G53" s="38" t="s">
        <v>2259</v>
      </c>
      <c r="H53" s="348" t="s">
        <v>2450</v>
      </c>
      <c r="I53" s="107" t="s">
        <v>1280</v>
      </c>
      <c r="J53" s="122" t="s">
        <v>2451</v>
      </c>
    </row>
    <row r="54" spans="1:12" s="57" customFormat="1" ht="105" x14ac:dyDescent="0.25">
      <c r="A54" s="38" t="s">
        <v>323</v>
      </c>
      <c r="B54" s="107" t="s">
        <v>2445</v>
      </c>
      <c r="C54" s="107" t="s">
        <v>2454</v>
      </c>
      <c r="D54" s="57" t="s">
        <v>2457</v>
      </c>
      <c r="E54" s="180">
        <v>26736</v>
      </c>
      <c r="F54" s="154">
        <f>E54/5280</f>
        <v>5.0636363636363635</v>
      </c>
      <c r="G54" s="150">
        <v>1936</v>
      </c>
      <c r="H54" s="150" t="s">
        <v>2455</v>
      </c>
      <c r="I54" s="83" t="s">
        <v>2456</v>
      </c>
      <c r="J54" s="57" t="s">
        <v>364</v>
      </c>
    </row>
    <row r="55" spans="1:12" s="151" customFormat="1" ht="75" x14ac:dyDescent="0.25">
      <c r="A55" s="153" t="s">
        <v>323</v>
      </c>
      <c r="B55" s="151" t="s">
        <v>2445</v>
      </c>
      <c r="C55" s="151" t="s">
        <v>2458</v>
      </c>
      <c r="D55" s="151" t="s">
        <v>2459</v>
      </c>
      <c r="E55" s="336">
        <v>16088</v>
      </c>
      <c r="F55" s="337">
        <f t="shared" si="0"/>
        <v>3.0469696969696969</v>
      </c>
      <c r="G55" s="153" t="s">
        <v>154</v>
      </c>
      <c r="H55" s="153"/>
      <c r="I55" s="144" t="s">
        <v>2461</v>
      </c>
      <c r="J55" s="151" t="s">
        <v>2460</v>
      </c>
    </row>
    <row r="56" spans="1:12" s="57" customFormat="1" ht="30" x14ac:dyDescent="0.25">
      <c r="A56" s="38" t="s">
        <v>323</v>
      </c>
      <c r="B56" s="107" t="s">
        <v>2445</v>
      </c>
      <c r="C56" s="107" t="s">
        <v>365</v>
      </c>
      <c r="D56" s="83" t="s">
        <v>2462</v>
      </c>
      <c r="E56" s="180" t="s">
        <v>249</v>
      </c>
      <c r="F56" s="154" t="s">
        <v>249</v>
      </c>
      <c r="G56" s="150">
        <v>1990</v>
      </c>
      <c r="H56" s="150"/>
      <c r="I56" s="57" t="s">
        <v>293</v>
      </c>
      <c r="J56" s="57" t="s">
        <v>2463</v>
      </c>
    </row>
    <row r="57" spans="1:12" s="57" customFormat="1" ht="135" x14ac:dyDescent="0.25">
      <c r="A57" s="38" t="s">
        <v>323</v>
      </c>
      <c r="B57" s="107" t="s">
        <v>2464</v>
      </c>
      <c r="C57" s="107" t="s">
        <v>436</v>
      </c>
      <c r="D57" s="57" t="s">
        <v>2465</v>
      </c>
      <c r="E57" s="338">
        <v>24816</v>
      </c>
      <c r="F57" s="154">
        <f>E57/5280</f>
        <v>4.7</v>
      </c>
      <c r="G57" s="150">
        <v>1950</v>
      </c>
      <c r="H57" s="150" t="s">
        <v>2467</v>
      </c>
      <c r="I57" s="57" t="s">
        <v>1014</v>
      </c>
      <c r="J57" s="83" t="s">
        <v>2466</v>
      </c>
    </row>
    <row r="58" spans="1:12" s="83" customFormat="1" ht="75" x14ac:dyDescent="0.25">
      <c r="A58" s="86" t="s">
        <v>323</v>
      </c>
      <c r="B58" s="83" t="s">
        <v>2464</v>
      </c>
      <c r="C58" s="83" t="s">
        <v>436</v>
      </c>
      <c r="D58" s="83" t="s">
        <v>2468</v>
      </c>
      <c r="E58" s="338">
        <v>14250</v>
      </c>
      <c r="F58" s="345">
        <f>(E58-1075)/5280</f>
        <v>2.4952651515151514</v>
      </c>
      <c r="G58" s="86">
        <v>2015</v>
      </c>
      <c r="H58" s="86" t="s">
        <v>2469</v>
      </c>
      <c r="I58" s="83" t="s">
        <v>2470</v>
      </c>
      <c r="J58" s="83" t="s">
        <v>2471</v>
      </c>
    </row>
    <row r="59" spans="1:12" ht="60" x14ac:dyDescent="0.25">
      <c r="A59" s="38" t="s">
        <v>323</v>
      </c>
      <c r="B59" s="107" t="s">
        <v>2464</v>
      </c>
      <c r="C59" s="107" t="s">
        <v>2474</v>
      </c>
      <c r="D59" s="57" t="s">
        <v>2475</v>
      </c>
      <c r="E59" s="180">
        <v>629</v>
      </c>
      <c r="F59" s="154" t="s">
        <v>853</v>
      </c>
      <c r="G59" s="38">
        <v>1966</v>
      </c>
      <c r="H59" s="38" t="s">
        <v>367</v>
      </c>
      <c r="I59" s="112" t="s">
        <v>1015</v>
      </c>
      <c r="J59" s="107" t="s">
        <v>2476</v>
      </c>
    </row>
    <row r="60" spans="1:12" s="83" customFormat="1" ht="180" x14ac:dyDescent="0.25">
      <c r="A60" s="86" t="s">
        <v>323</v>
      </c>
      <c r="B60" s="83" t="s">
        <v>2464</v>
      </c>
      <c r="C60" s="83" t="s">
        <v>2473</v>
      </c>
      <c r="D60" s="83" t="s">
        <v>2472</v>
      </c>
      <c r="E60" s="338">
        <v>35433</v>
      </c>
      <c r="F60" s="345">
        <f>E60/5280</f>
        <v>6.7107954545454547</v>
      </c>
      <c r="G60" s="86">
        <v>2015</v>
      </c>
      <c r="H60" s="86"/>
      <c r="I60" s="83" t="s">
        <v>366</v>
      </c>
      <c r="J60" s="83" t="s">
        <v>2601</v>
      </c>
      <c r="L60" s="349">
        <f>18267/5280</f>
        <v>3.4596590909090907</v>
      </c>
    </row>
    <row r="61" spans="1:12" ht="60" x14ac:dyDescent="0.25">
      <c r="A61" s="38" t="s">
        <v>323</v>
      </c>
      <c r="B61" s="107" t="s">
        <v>2464</v>
      </c>
      <c r="C61" s="107" t="s">
        <v>2474</v>
      </c>
      <c r="D61" s="57" t="s">
        <v>2477</v>
      </c>
      <c r="E61" s="180">
        <v>7146</v>
      </c>
      <c r="F61" s="154" t="s">
        <v>853</v>
      </c>
      <c r="G61" s="38">
        <v>1966</v>
      </c>
      <c r="H61" s="38" t="s">
        <v>367</v>
      </c>
      <c r="I61" s="112" t="s">
        <v>1015</v>
      </c>
      <c r="J61" s="107" t="s">
        <v>2476</v>
      </c>
    </row>
    <row r="62" spans="1:12" ht="45" x14ac:dyDescent="0.25">
      <c r="A62" s="38" t="s">
        <v>323</v>
      </c>
      <c r="B62" s="107" t="s">
        <v>2464</v>
      </c>
      <c r="C62" s="107" t="s">
        <v>368</v>
      </c>
      <c r="D62" s="57" t="s">
        <v>2479</v>
      </c>
      <c r="E62" s="180">
        <f>4225</f>
        <v>4225</v>
      </c>
      <c r="F62" s="154" t="s">
        <v>853</v>
      </c>
      <c r="G62" s="38">
        <v>1962</v>
      </c>
      <c r="H62" s="38" t="s">
        <v>369</v>
      </c>
      <c r="I62" s="112" t="s">
        <v>1016</v>
      </c>
      <c r="J62" s="107" t="s">
        <v>370</v>
      </c>
    </row>
    <row r="63" spans="1:12" ht="45" x14ac:dyDescent="0.25">
      <c r="A63" s="38" t="s">
        <v>323</v>
      </c>
      <c r="B63" s="107" t="s">
        <v>2464</v>
      </c>
      <c r="C63" s="107" t="s">
        <v>368</v>
      </c>
      <c r="D63" s="57" t="s">
        <v>2478</v>
      </c>
      <c r="E63" s="180">
        <f>3493</f>
        <v>3493</v>
      </c>
      <c r="F63" s="154" t="s">
        <v>853</v>
      </c>
      <c r="G63" s="38">
        <v>1962</v>
      </c>
      <c r="H63" s="38" t="s">
        <v>369</v>
      </c>
      <c r="I63" s="112" t="s">
        <v>1016</v>
      </c>
      <c r="J63" s="107" t="s">
        <v>370</v>
      </c>
    </row>
    <row r="64" spans="1:12" ht="45" x14ac:dyDescent="0.25">
      <c r="A64" s="38" t="s">
        <v>323</v>
      </c>
      <c r="B64" s="107" t="s">
        <v>2464</v>
      </c>
      <c r="C64" s="107" t="s">
        <v>368</v>
      </c>
      <c r="D64" s="57" t="s">
        <v>2480</v>
      </c>
      <c r="E64" s="180">
        <v>855</v>
      </c>
      <c r="F64" s="154" t="s">
        <v>853</v>
      </c>
      <c r="G64" s="38">
        <v>1962</v>
      </c>
      <c r="H64" s="38" t="s">
        <v>369</v>
      </c>
      <c r="I64" s="112" t="s">
        <v>1016</v>
      </c>
      <c r="J64" s="107" t="s">
        <v>2481</v>
      </c>
    </row>
    <row r="65" spans="1:10" ht="135" x14ac:dyDescent="0.25">
      <c r="A65" s="38" t="s">
        <v>323</v>
      </c>
      <c r="B65" s="107" t="s">
        <v>2464</v>
      </c>
      <c r="C65" s="107" t="s">
        <v>2482</v>
      </c>
      <c r="D65" s="57" t="s">
        <v>2487</v>
      </c>
      <c r="E65" s="179">
        <v>6483</v>
      </c>
      <c r="F65" s="154">
        <f>E65/5280</f>
        <v>1.227840909090909</v>
      </c>
      <c r="G65" s="38">
        <v>1962</v>
      </c>
      <c r="H65" s="38" t="s">
        <v>2490</v>
      </c>
      <c r="I65" s="107" t="s">
        <v>2489</v>
      </c>
      <c r="J65" s="107" t="s">
        <v>2491</v>
      </c>
    </row>
    <row r="66" spans="1:10" ht="135" x14ac:dyDescent="0.25">
      <c r="A66" s="38" t="s">
        <v>323</v>
      </c>
      <c r="B66" s="107" t="s">
        <v>2464</v>
      </c>
      <c r="C66" s="107" t="s">
        <v>2482</v>
      </c>
      <c r="D66" s="57" t="s">
        <v>2492</v>
      </c>
      <c r="E66" s="179">
        <v>5275</v>
      </c>
      <c r="F66" s="154" t="s">
        <v>853</v>
      </c>
      <c r="G66" s="38">
        <v>1962</v>
      </c>
      <c r="H66" s="38" t="s">
        <v>2490</v>
      </c>
      <c r="I66" s="107" t="s">
        <v>2489</v>
      </c>
      <c r="J66" s="107" t="s">
        <v>2491</v>
      </c>
    </row>
    <row r="67" spans="1:10" ht="60" x14ac:dyDescent="0.25">
      <c r="A67" s="38" t="s">
        <v>323</v>
      </c>
      <c r="B67" s="107" t="s">
        <v>2464</v>
      </c>
      <c r="C67" s="107" t="s">
        <v>2482</v>
      </c>
      <c r="D67" s="57" t="s">
        <v>2485</v>
      </c>
      <c r="E67" s="179">
        <v>1942</v>
      </c>
      <c r="F67" s="154">
        <f>235/5280</f>
        <v>4.450757575757576E-2</v>
      </c>
      <c r="G67" s="38">
        <v>1962</v>
      </c>
      <c r="H67" s="38" t="s">
        <v>1223</v>
      </c>
      <c r="I67" s="107" t="s">
        <v>293</v>
      </c>
      <c r="J67" s="107" t="s">
        <v>2493</v>
      </c>
    </row>
    <row r="68" spans="1:10" ht="75" x14ac:dyDescent="0.25">
      <c r="A68" s="38" t="s">
        <v>323</v>
      </c>
      <c r="B68" s="107" t="s">
        <v>2464</v>
      </c>
      <c r="C68" s="107" t="s">
        <v>2482</v>
      </c>
      <c r="D68" s="57" t="s">
        <v>2488</v>
      </c>
      <c r="E68" s="179">
        <v>1121</v>
      </c>
      <c r="F68" s="154" t="s">
        <v>853</v>
      </c>
      <c r="G68" s="38">
        <v>1962</v>
      </c>
      <c r="H68" s="38">
        <v>2003</v>
      </c>
      <c r="I68" s="107" t="s">
        <v>1017</v>
      </c>
      <c r="J68" s="107" t="s">
        <v>2496</v>
      </c>
    </row>
    <row r="69" spans="1:10" ht="45" x14ac:dyDescent="0.25">
      <c r="A69" s="38" t="s">
        <v>323</v>
      </c>
      <c r="B69" s="107" t="s">
        <v>2464</v>
      </c>
      <c r="C69" s="107" t="s">
        <v>2482</v>
      </c>
      <c r="D69" s="57" t="s">
        <v>2486</v>
      </c>
      <c r="E69" s="179">
        <v>5801</v>
      </c>
      <c r="F69" s="154">
        <f>E69/5280</f>
        <v>1.0986742424242424</v>
      </c>
      <c r="G69" s="38">
        <v>1962</v>
      </c>
      <c r="H69" s="38" t="s">
        <v>2495</v>
      </c>
      <c r="I69" s="107" t="s">
        <v>293</v>
      </c>
      <c r="J69" s="107" t="s">
        <v>2494</v>
      </c>
    </row>
    <row r="70" spans="1:10" ht="60" x14ac:dyDescent="0.25">
      <c r="A70" s="38" t="s">
        <v>323</v>
      </c>
      <c r="B70" s="107" t="s">
        <v>2464</v>
      </c>
      <c r="C70" s="107" t="s">
        <v>2483</v>
      </c>
      <c r="D70" s="57" t="s">
        <v>371</v>
      </c>
      <c r="E70" s="179">
        <v>12145</v>
      </c>
      <c r="F70" s="154">
        <f t="shared" si="0"/>
        <v>2.300189393939394</v>
      </c>
      <c r="G70" s="38">
        <v>1967</v>
      </c>
      <c r="H70" s="38" t="s">
        <v>372</v>
      </c>
      <c r="I70" s="112" t="s">
        <v>2497</v>
      </c>
      <c r="J70" s="107" t="s">
        <v>373</v>
      </c>
    </row>
    <row r="71" spans="1:10" ht="105" x14ac:dyDescent="0.25">
      <c r="A71" s="38" t="s">
        <v>323</v>
      </c>
      <c r="B71" s="107" t="s">
        <v>2464</v>
      </c>
      <c r="C71" s="107" t="s">
        <v>2483</v>
      </c>
      <c r="D71" s="57" t="s">
        <v>2498</v>
      </c>
      <c r="E71" s="179">
        <v>5296</v>
      </c>
      <c r="F71" s="154" t="s">
        <v>853</v>
      </c>
      <c r="G71" s="38" t="s">
        <v>2259</v>
      </c>
      <c r="H71" s="38">
        <v>2013</v>
      </c>
      <c r="I71" s="107" t="s">
        <v>2500</v>
      </c>
      <c r="J71" s="107" t="s">
        <v>2499</v>
      </c>
    </row>
    <row r="72" spans="1:10" ht="120" x14ac:dyDescent="0.25">
      <c r="A72" s="38" t="s">
        <v>323</v>
      </c>
      <c r="B72" s="107" t="s">
        <v>2464</v>
      </c>
      <c r="C72" s="107" t="s">
        <v>2483</v>
      </c>
      <c r="D72" s="57" t="s">
        <v>2501</v>
      </c>
      <c r="E72" s="179">
        <v>2252</v>
      </c>
      <c r="F72" s="154">
        <f>1100/5280</f>
        <v>0.20833333333333334</v>
      </c>
      <c r="G72" s="38" t="s">
        <v>2259</v>
      </c>
      <c r="H72" s="38">
        <v>2013</v>
      </c>
      <c r="I72" s="107" t="s">
        <v>2500</v>
      </c>
      <c r="J72" s="107" t="s">
        <v>2502</v>
      </c>
    </row>
    <row r="73" spans="1:10" s="144" customFormat="1" ht="90" x14ac:dyDescent="0.25">
      <c r="A73" s="152" t="s">
        <v>323</v>
      </c>
      <c r="B73" s="142" t="s">
        <v>2464</v>
      </c>
      <c r="C73" s="142" t="s">
        <v>2483</v>
      </c>
      <c r="D73" s="144" t="s">
        <v>2503</v>
      </c>
      <c r="E73" s="139">
        <v>11809</v>
      </c>
      <c r="F73" s="146" t="s">
        <v>853</v>
      </c>
      <c r="G73" s="152"/>
      <c r="H73" s="152" t="s">
        <v>2312</v>
      </c>
      <c r="I73" s="151" t="s">
        <v>2505</v>
      </c>
      <c r="J73" s="144" t="s">
        <v>2504</v>
      </c>
    </row>
    <row r="74" spans="1:10" s="151" customFormat="1" ht="45" x14ac:dyDescent="0.25">
      <c r="A74" s="153" t="s">
        <v>323</v>
      </c>
      <c r="B74" s="151" t="s">
        <v>2464</v>
      </c>
      <c r="C74" s="151" t="s">
        <v>2483</v>
      </c>
      <c r="D74" s="151" t="s">
        <v>2506</v>
      </c>
      <c r="E74" s="336">
        <f>700+375</f>
        <v>1075</v>
      </c>
      <c r="F74" s="337">
        <f>E74/5280</f>
        <v>0.20359848484848486</v>
      </c>
      <c r="G74" s="153"/>
      <c r="H74" s="153" t="s">
        <v>154</v>
      </c>
      <c r="I74" s="151" t="s">
        <v>366</v>
      </c>
      <c r="J74" s="151" t="s">
        <v>2507</v>
      </c>
    </row>
    <row r="75" spans="1:10" s="83" customFormat="1" ht="75" x14ac:dyDescent="0.25">
      <c r="A75" s="86" t="s">
        <v>323</v>
      </c>
      <c r="B75" s="11" t="s">
        <v>2464</v>
      </c>
      <c r="C75" s="11" t="s">
        <v>2483</v>
      </c>
      <c r="D75" s="83" t="s">
        <v>2510</v>
      </c>
      <c r="E75" s="242">
        <v>871</v>
      </c>
      <c r="F75" s="318">
        <f>E75/5280</f>
        <v>0.1649621212121212</v>
      </c>
      <c r="G75" s="10">
        <v>2015</v>
      </c>
      <c r="H75" s="86">
        <v>2016</v>
      </c>
      <c r="I75" s="57" t="s">
        <v>2508</v>
      </c>
      <c r="J75" s="57" t="s">
        <v>2509</v>
      </c>
    </row>
    <row r="76" spans="1:10" s="83" customFormat="1" ht="90" x14ac:dyDescent="0.25">
      <c r="A76" s="86" t="s">
        <v>323</v>
      </c>
      <c r="B76" s="11" t="s">
        <v>2464</v>
      </c>
      <c r="C76" s="11" t="s">
        <v>2483</v>
      </c>
      <c r="D76" s="83" t="s">
        <v>2511</v>
      </c>
      <c r="E76" s="242">
        <v>648</v>
      </c>
      <c r="F76" s="345">
        <f>184/5280</f>
        <v>3.4848484848484851E-2</v>
      </c>
      <c r="G76" s="10">
        <v>2015</v>
      </c>
      <c r="H76" s="86">
        <v>2016</v>
      </c>
      <c r="I76" s="57" t="s">
        <v>2508</v>
      </c>
      <c r="J76" s="57" t="s">
        <v>2513</v>
      </c>
    </row>
    <row r="77" spans="1:10" s="83" customFormat="1" ht="75" x14ac:dyDescent="0.25">
      <c r="A77" s="86" t="s">
        <v>323</v>
      </c>
      <c r="B77" s="11" t="s">
        <v>2464</v>
      </c>
      <c r="C77" s="11" t="s">
        <v>2483</v>
      </c>
      <c r="D77" s="83" t="s">
        <v>2512</v>
      </c>
      <c r="E77" s="242">
        <v>884</v>
      </c>
      <c r="F77" s="318">
        <f>E77/5280</f>
        <v>0.16742424242424242</v>
      </c>
      <c r="G77" s="10">
        <v>2015</v>
      </c>
      <c r="H77" s="86">
        <v>2016</v>
      </c>
      <c r="I77" s="57" t="s">
        <v>2508</v>
      </c>
      <c r="J77" s="57" t="s">
        <v>2509</v>
      </c>
    </row>
    <row r="78" spans="1:10" ht="30" x14ac:dyDescent="0.25">
      <c r="A78" s="38" t="s">
        <v>323</v>
      </c>
      <c r="B78" s="107" t="s">
        <v>2464</v>
      </c>
      <c r="C78" s="107" t="s">
        <v>374</v>
      </c>
      <c r="D78" s="57" t="s">
        <v>2514</v>
      </c>
      <c r="E78" s="180">
        <v>7546</v>
      </c>
      <c r="F78" s="318">
        <f>E78/5280</f>
        <v>1.4291666666666667</v>
      </c>
      <c r="G78" s="38">
        <v>1966</v>
      </c>
      <c r="H78" s="38" t="s">
        <v>375</v>
      </c>
      <c r="I78" s="112" t="s">
        <v>1018</v>
      </c>
      <c r="J78" s="107" t="s">
        <v>376</v>
      </c>
    </row>
    <row r="79" spans="1:10" ht="60" x14ac:dyDescent="0.25">
      <c r="A79" s="38" t="s">
        <v>323</v>
      </c>
      <c r="B79" s="11" t="s">
        <v>2464</v>
      </c>
      <c r="C79" s="11" t="s">
        <v>374</v>
      </c>
      <c r="D79" s="57" t="s">
        <v>2517</v>
      </c>
      <c r="E79" s="242">
        <v>1450</v>
      </c>
      <c r="F79" s="133" t="s">
        <v>853</v>
      </c>
      <c r="G79" s="10">
        <v>2013</v>
      </c>
      <c r="H79" s="38">
        <v>2016</v>
      </c>
      <c r="I79" s="57" t="s">
        <v>2518</v>
      </c>
      <c r="J79" s="57" t="s">
        <v>2519</v>
      </c>
    </row>
    <row r="80" spans="1:10" s="144" customFormat="1" ht="120" x14ac:dyDescent="0.25">
      <c r="A80" s="152" t="s">
        <v>323</v>
      </c>
      <c r="B80" s="142" t="s">
        <v>2464</v>
      </c>
      <c r="C80" s="144" t="s">
        <v>2520</v>
      </c>
      <c r="D80" s="144" t="s">
        <v>2521</v>
      </c>
      <c r="E80" s="139">
        <v>25000</v>
      </c>
      <c r="F80" s="140">
        <f>17454/5280</f>
        <v>3.3056818181818182</v>
      </c>
      <c r="G80" s="152" t="s">
        <v>154</v>
      </c>
      <c r="H80" s="152"/>
      <c r="I80" s="144" t="s">
        <v>2522</v>
      </c>
      <c r="J80" s="144" t="s">
        <v>2523</v>
      </c>
    </row>
    <row r="81" spans="1:11" ht="30" x14ac:dyDescent="0.25">
      <c r="A81" s="38" t="s">
        <v>323</v>
      </c>
      <c r="B81" s="107" t="s">
        <v>2464</v>
      </c>
      <c r="C81" s="107" t="s">
        <v>2484</v>
      </c>
      <c r="D81" s="83" t="s">
        <v>2516</v>
      </c>
      <c r="E81" s="150" t="s">
        <v>249</v>
      </c>
      <c r="F81" s="335" t="s">
        <v>249</v>
      </c>
      <c r="G81" s="38">
        <v>1963</v>
      </c>
      <c r="H81" s="38">
        <v>1991</v>
      </c>
      <c r="J81" s="107" t="s">
        <v>2515</v>
      </c>
    </row>
    <row r="82" spans="1:11" ht="135" x14ac:dyDescent="0.25">
      <c r="A82" s="38" t="s">
        <v>323</v>
      </c>
      <c r="B82" s="107" t="s">
        <v>2464</v>
      </c>
      <c r="C82" s="107" t="s">
        <v>2464</v>
      </c>
      <c r="D82" s="57" t="s">
        <v>2524</v>
      </c>
      <c r="E82" s="179">
        <v>19070</v>
      </c>
      <c r="F82" s="318">
        <f>E82/5280</f>
        <v>3.6117424242424243</v>
      </c>
      <c r="G82" s="38">
        <v>1962</v>
      </c>
      <c r="H82" s="38" t="s">
        <v>2526</v>
      </c>
      <c r="I82" s="107" t="s">
        <v>2527</v>
      </c>
      <c r="J82" s="107" t="s">
        <v>2525</v>
      </c>
    </row>
    <row r="83" spans="1:11" ht="105" x14ac:dyDescent="0.25">
      <c r="A83" s="38" t="s">
        <v>323</v>
      </c>
      <c r="B83" s="107" t="s">
        <v>2464</v>
      </c>
      <c r="C83" s="107" t="s">
        <v>2530</v>
      </c>
      <c r="D83" s="107" t="s">
        <v>2529</v>
      </c>
      <c r="E83" s="180">
        <v>7125</v>
      </c>
      <c r="F83" s="318">
        <f>E83/5280</f>
        <v>1.3494318181818181</v>
      </c>
      <c r="G83" s="38">
        <v>1986</v>
      </c>
      <c r="H83" s="38" t="s">
        <v>2531</v>
      </c>
      <c r="I83" s="107" t="s">
        <v>1019</v>
      </c>
      <c r="J83" s="107" t="s">
        <v>2528</v>
      </c>
    </row>
    <row r="84" spans="1:11" ht="75" x14ac:dyDescent="0.25">
      <c r="A84" s="38" t="s">
        <v>323</v>
      </c>
      <c r="B84" s="107" t="s">
        <v>2464</v>
      </c>
      <c r="C84" s="107" t="s">
        <v>377</v>
      </c>
      <c r="D84" s="57" t="s">
        <v>2532</v>
      </c>
      <c r="E84" s="178">
        <v>5527</v>
      </c>
      <c r="F84" s="318">
        <f>E84/5280</f>
        <v>1.0467803030303031</v>
      </c>
      <c r="G84" s="38">
        <v>1967</v>
      </c>
      <c r="H84" s="38" t="s">
        <v>2533</v>
      </c>
      <c r="I84" s="107" t="s">
        <v>2534</v>
      </c>
      <c r="J84" s="107" t="s">
        <v>2535</v>
      </c>
    </row>
    <row r="85" spans="1:11" x14ac:dyDescent="0.25">
      <c r="D85" s="57"/>
      <c r="E85" s="178"/>
      <c r="F85" s="318"/>
    </row>
    <row r="86" spans="1:11" x14ac:dyDescent="0.25">
      <c r="D86" s="92" t="s">
        <v>6</v>
      </c>
      <c r="E86" s="351">
        <f>SUM(E3:E84)</f>
        <v>675246</v>
      </c>
      <c r="F86" s="334">
        <f>F88+F89</f>
        <v>97.932916666666642</v>
      </c>
      <c r="G86" s="352"/>
      <c r="H86" s="328"/>
    </row>
    <row r="87" spans="1:11" x14ac:dyDescent="0.25">
      <c r="D87" s="111"/>
    </row>
    <row r="88" spans="1:11" x14ac:dyDescent="0.25">
      <c r="E88" s="111"/>
      <c r="F88" s="154">
        <f>F2+F3+F4+F12+F13+F17+F24+F25+F27+F28+F29+F30+F31+F32+F34+F36+F40+F41+F44+F45+F47+F50+F51+F52+F54+F57+F58+F60+F65+F67+F69+F70+F72+F75+F76+F77+F78+F82+F83+F84-0.04</f>
        <v>80.332159090909073</v>
      </c>
      <c r="G88" s="97" t="s">
        <v>2603</v>
      </c>
    </row>
    <row r="89" spans="1:11" x14ac:dyDescent="0.25">
      <c r="E89" s="111"/>
      <c r="F89" s="350">
        <f>F80+F74+F55+F23</f>
        <v>17.600757575757576</v>
      </c>
      <c r="G89" s="97" t="s">
        <v>154</v>
      </c>
    </row>
    <row r="92" spans="1:11" x14ac:dyDescent="0.25">
      <c r="A92" s="7" t="s">
        <v>247</v>
      </c>
      <c r="B92" s="124" t="s">
        <v>284</v>
      </c>
      <c r="C92" s="183"/>
    </row>
    <row r="93" spans="1:11" x14ac:dyDescent="0.25">
      <c r="A93" s="1"/>
      <c r="B93" s="124" t="s">
        <v>248</v>
      </c>
      <c r="C93" s="187"/>
    </row>
    <row r="94" spans="1:11" x14ac:dyDescent="0.25">
      <c r="B94" s="124" t="s">
        <v>1411</v>
      </c>
      <c r="C94" s="187"/>
    </row>
    <row r="95" spans="1:11" s="57" customFormat="1" x14ac:dyDescent="0.25">
      <c r="A95" s="150"/>
      <c r="B95" s="125" t="s">
        <v>485</v>
      </c>
      <c r="C95" s="187"/>
      <c r="E95" s="155"/>
      <c r="F95" s="339"/>
      <c r="G95" s="155"/>
      <c r="H95" s="329"/>
      <c r="I95" s="156"/>
      <c r="J95" s="157"/>
      <c r="K95" s="158"/>
    </row>
    <row r="96" spans="1:11" s="57" customFormat="1" x14ac:dyDescent="0.25">
      <c r="A96" s="150"/>
      <c r="B96" s="192"/>
      <c r="C96" s="234" t="s">
        <v>483</v>
      </c>
      <c r="D96" s="159"/>
      <c r="E96" s="155"/>
      <c r="F96" s="339"/>
      <c r="G96" s="155"/>
      <c r="H96" s="329"/>
      <c r="I96" s="156"/>
      <c r="J96" s="157"/>
      <c r="K96" s="160"/>
    </row>
    <row r="97" spans="1:11" s="57" customFormat="1" x14ac:dyDescent="0.25">
      <c r="A97" s="150"/>
      <c r="D97" s="161"/>
      <c r="E97" s="162"/>
      <c r="F97" s="340"/>
      <c r="G97" s="163"/>
      <c r="H97" s="330"/>
      <c r="I97" s="165"/>
      <c r="J97" s="166"/>
      <c r="K97" s="160"/>
    </row>
    <row r="98" spans="1:11" s="57" customFormat="1" x14ac:dyDescent="0.25">
      <c r="A98" s="150"/>
      <c r="D98" s="161"/>
      <c r="E98" s="162"/>
      <c r="F98" s="340"/>
      <c r="G98" s="163"/>
      <c r="H98" s="330"/>
      <c r="I98" s="165"/>
      <c r="J98" s="166"/>
      <c r="K98" s="160"/>
    </row>
    <row r="99" spans="1:11" s="57" customFormat="1" x14ac:dyDescent="0.25">
      <c r="A99" s="150"/>
      <c r="D99" s="161"/>
      <c r="E99" s="162"/>
      <c r="F99" s="340"/>
      <c r="G99" s="163"/>
      <c r="H99" s="330"/>
      <c r="I99" s="165"/>
      <c r="J99" s="166"/>
      <c r="K99" s="160"/>
    </row>
    <row r="100" spans="1:11" s="57" customFormat="1" x14ac:dyDescent="0.25">
      <c r="A100" s="150"/>
      <c r="D100" s="161"/>
      <c r="E100" s="162"/>
      <c r="F100" s="340"/>
      <c r="G100" s="163"/>
      <c r="H100" s="330"/>
      <c r="I100" s="165"/>
      <c r="J100" s="166"/>
      <c r="K100" s="160"/>
    </row>
    <row r="101" spans="1:11" s="57" customFormat="1" x14ac:dyDescent="0.25">
      <c r="A101" s="150"/>
      <c r="D101" s="158"/>
      <c r="E101" s="163"/>
      <c r="F101" s="340"/>
      <c r="G101" s="163"/>
      <c r="H101" s="330"/>
      <c r="I101" s="165"/>
      <c r="J101" s="167"/>
      <c r="K101" s="158"/>
    </row>
    <row r="102" spans="1:11" s="57" customFormat="1" x14ac:dyDescent="0.25">
      <c r="A102" s="150"/>
      <c r="D102" s="161"/>
      <c r="E102" s="162"/>
      <c r="F102" s="340"/>
      <c r="G102" s="163"/>
      <c r="H102" s="330"/>
      <c r="I102" s="165"/>
      <c r="J102" s="166"/>
      <c r="K102" s="158"/>
    </row>
    <row r="103" spans="1:11" s="57" customFormat="1" x14ac:dyDescent="0.25">
      <c r="A103" s="150"/>
      <c r="D103" s="158"/>
      <c r="E103" s="163"/>
      <c r="F103" s="340"/>
      <c r="G103" s="163"/>
      <c r="H103" s="330"/>
      <c r="I103" s="165"/>
      <c r="J103" s="167"/>
      <c r="K103" s="160"/>
    </row>
    <row r="104" spans="1:11" s="57" customFormat="1" x14ac:dyDescent="0.25">
      <c r="A104" s="150"/>
      <c r="D104" s="161"/>
      <c r="E104" s="162"/>
      <c r="F104" s="340"/>
      <c r="G104" s="163"/>
      <c r="H104" s="330"/>
      <c r="I104" s="165"/>
      <c r="J104" s="166"/>
      <c r="K104" s="160"/>
    </row>
    <row r="105" spans="1:11" s="57" customFormat="1" x14ac:dyDescent="0.25">
      <c r="A105" s="150"/>
      <c r="D105" s="158"/>
      <c r="E105" s="162"/>
      <c r="F105" s="340"/>
      <c r="G105" s="163"/>
      <c r="H105" s="330"/>
      <c r="I105" s="165"/>
      <c r="J105" s="167"/>
      <c r="K105" s="158"/>
    </row>
    <row r="106" spans="1:11" s="57" customFormat="1" x14ac:dyDescent="0.25">
      <c r="A106" s="150"/>
      <c r="D106" s="161"/>
      <c r="E106" s="162"/>
      <c r="F106" s="340"/>
      <c r="G106" s="163"/>
      <c r="H106" s="330"/>
      <c r="I106" s="165"/>
      <c r="J106" s="166"/>
      <c r="K106" s="158"/>
    </row>
    <row r="107" spans="1:11" s="57" customFormat="1" x14ac:dyDescent="0.25">
      <c r="A107" s="150"/>
      <c r="D107" s="158"/>
      <c r="E107" s="163"/>
      <c r="F107" s="340"/>
      <c r="G107" s="163"/>
      <c r="H107" s="330"/>
      <c r="I107" s="165"/>
      <c r="J107" s="167"/>
      <c r="K107" s="158"/>
    </row>
    <row r="108" spans="1:11" s="57" customFormat="1" x14ac:dyDescent="0.25">
      <c r="A108" s="150"/>
      <c r="D108" s="161"/>
      <c r="E108" s="162"/>
      <c r="F108" s="340"/>
      <c r="G108" s="163"/>
      <c r="H108" s="330"/>
      <c r="I108" s="165"/>
      <c r="J108" s="166"/>
      <c r="K108" s="158"/>
    </row>
    <row r="109" spans="1:11" s="57" customFormat="1" x14ac:dyDescent="0.25">
      <c r="A109" s="150"/>
      <c r="D109" s="158"/>
      <c r="E109" s="163"/>
      <c r="F109" s="340"/>
      <c r="G109" s="163"/>
      <c r="H109" s="330"/>
      <c r="I109" s="165"/>
      <c r="J109" s="167"/>
      <c r="K109" s="158"/>
    </row>
    <row r="110" spans="1:11" s="57" customFormat="1" x14ac:dyDescent="0.25">
      <c r="A110" s="150"/>
      <c r="D110" s="158"/>
      <c r="E110" s="163"/>
      <c r="F110" s="340"/>
      <c r="G110" s="163"/>
      <c r="H110" s="330"/>
      <c r="I110" s="165"/>
      <c r="J110" s="167"/>
      <c r="K110" s="158"/>
    </row>
    <row r="111" spans="1:11" s="57" customFormat="1" x14ac:dyDescent="0.25">
      <c r="A111" s="150"/>
      <c r="D111" s="159"/>
      <c r="E111" s="155"/>
      <c r="F111" s="339"/>
      <c r="G111" s="155"/>
      <c r="H111" s="329"/>
      <c r="I111" s="156"/>
      <c r="J111" s="157"/>
      <c r="K111" s="158"/>
    </row>
    <row r="112" spans="1:11" s="57" customFormat="1" x14ac:dyDescent="0.25">
      <c r="A112" s="150"/>
      <c r="D112" s="161"/>
      <c r="E112" s="162"/>
      <c r="F112" s="340"/>
      <c r="G112" s="163"/>
      <c r="H112" s="330"/>
      <c r="I112" s="165"/>
      <c r="J112" s="167"/>
      <c r="K112" s="158"/>
    </row>
    <row r="113" spans="1:11" s="57" customFormat="1" x14ac:dyDescent="0.25">
      <c r="A113" s="150"/>
      <c r="D113" s="161"/>
      <c r="E113" s="162"/>
      <c r="F113" s="340"/>
      <c r="G113" s="163"/>
      <c r="H113" s="330"/>
      <c r="I113" s="165"/>
      <c r="J113" s="167"/>
      <c r="K113" s="158"/>
    </row>
    <row r="114" spans="1:11" s="57" customFormat="1" x14ac:dyDescent="0.25">
      <c r="A114" s="150"/>
      <c r="D114" s="158"/>
      <c r="E114" s="162"/>
      <c r="F114" s="340"/>
      <c r="G114" s="163"/>
      <c r="H114" s="330"/>
      <c r="I114" s="168"/>
      <c r="J114" s="167"/>
      <c r="K114" s="160"/>
    </row>
    <row r="115" spans="1:11" s="57" customFormat="1" x14ac:dyDescent="0.25">
      <c r="A115" s="150"/>
      <c r="D115" s="158"/>
      <c r="E115" s="162"/>
      <c r="F115" s="340"/>
      <c r="G115" s="163"/>
      <c r="H115" s="330"/>
      <c r="I115" s="168"/>
      <c r="J115" s="167"/>
      <c r="K115" s="160"/>
    </row>
    <row r="116" spans="1:11" s="57" customFormat="1" x14ac:dyDescent="0.25">
      <c r="A116" s="150"/>
      <c r="D116" s="161"/>
      <c r="E116" s="162"/>
      <c r="F116" s="340"/>
      <c r="G116" s="163"/>
      <c r="H116" s="330"/>
      <c r="I116" s="165"/>
      <c r="J116" s="167"/>
      <c r="K116" s="158"/>
    </row>
    <row r="117" spans="1:11" s="57" customFormat="1" x14ac:dyDescent="0.25">
      <c r="A117" s="150"/>
      <c r="D117" s="159"/>
      <c r="E117" s="155"/>
      <c r="F117" s="340"/>
      <c r="G117" s="155"/>
      <c r="H117" s="329"/>
      <c r="I117" s="156"/>
      <c r="J117" s="157"/>
      <c r="K117" s="158"/>
    </row>
    <row r="118" spans="1:11" s="57" customFormat="1" x14ac:dyDescent="0.25">
      <c r="A118" s="150"/>
      <c r="D118" s="161"/>
      <c r="E118" s="162"/>
      <c r="F118" s="340"/>
      <c r="G118" s="163"/>
      <c r="H118" s="330"/>
      <c r="I118" s="165"/>
      <c r="J118" s="167"/>
      <c r="K118" s="158"/>
    </row>
    <row r="119" spans="1:11" s="57" customFormat="1" x14ac:dyDescent="0.25">
      <c r="A119" s="150"/>
      <c r="D119" s="161"/>
      <c r="E119" s="162"/>
      <c r="F119" s="340"/>
      <c r="G119" s="163"/>
      <c r="H119" s="330"/>
      <c r="I119" s="165"/>
      <c r="J119" s="167"/>
      <c r="K119" s="158"/>
    </row>
    <row r="120" spans="1:11" s="57" customFormat="1" x14ac:dyDescent="0.25">
      <c r="A120" s="150"/>
      <c r="D120" s="159"/>
      <c r="E120" s="155"/>
      <c r="F120" s="339"/>
      <c r="G120" s="155"/>
      <c r="H120" s="329"/>
      <c r="I120" s="156"/>
      <c r="J120" s="157"/>
      <c r="K120" s="158"/>
    </row>
    <row r="121" spans="1:11" s="57" customFormat="1" x14ac:dyDescent="0.25">
      <c r="A121" s="150"/>
      <c r="D121" s="161"/>
      <c r="E121" s="163"/>
      <c r="F121" s="340"/>
      <c r="G121" s="169"/>
      <c r="H121" s="330"/>
      <c r="I121" s="168"/>
      <c r="J121" s="167"/>
      <c r="K121" s="158"/>
    </row>
    <row r="122" spans="1:11" s="57" customFormat="1" x14ac:dyDescent="0.25">
      <c r="A122" s="150"/>
      <c r="D122" s="161"/>
      <c r="E122" s="162"/>
      <c r="F122" s="340"/>
      <c r="G122" s="163"/>
      <c r="H122" s="330"/>
      <c r="I122" s="165"/>
      <c r="J122" s="167"/>
      <c r="K122" s="160"/>
    </row>
    <row r="123" spans="1:11" s="57" customFormat="1" x14ac:dyDescent="0.25">
      <c r="A123" s="150"/>
      <c r="D123" s="158"/>
      <c r="E123" s="162"/>
      <c r="F123" s="340"/>
      <c r="G123" s="163"/>
      <c r="H123" s="330"/>
      <c r="I123" s="165"/>
      <c r="J123" s="167"/>
      <c r="K123" s="158"/>
    </row>
    <row r="124" spans="1:11" s="57" customFormat="1" x14ac:dyDescent="0.25">
      <c r="A124" s="150"/>
      <c r="D124" s="161"/>
      <c r="E124" s="162"/>
      <c r="F124" s="340"/>
      <c r="G124" s="163"/>
      <c r="H124" s="330"/>
      <c r="I124" s="165"/>
      <c r="J124" s="167"/>
      <c r="K124" s="158"/>
    </row>
    <row r="125" spans="1:11" s="57" customFormat="1" x14ac:dyDescent="0.25">
      <c r="A125" s="150"/>
      <c r="D125" s="161"/>
      <c r="E125" s="162"/>
      <c r="F125" s="340"/>
      <c r="G125" s="163"/>
      <c r="H125" s="330"/>
      <c r="I125" s="165"/>
      <c r="J125" s="166"/>
      <c r="K125" s="158"/>
    </row>
    <row r="126" spans="1:11" s="57" customFormat="1" x14ac:dyDescent="0.25">
      <c r="A126" s="150"/>
      <c r="D126" s="158"/>
      <c r="E126" s="162"/>
      <c r="F126" s="340"/>
      <c r="G126" s="163"/>
      <c r="H126" s="330"/>
      <c r="I126" s="165"/>
      <c r="J126" s="167"/>
      <c r="K126" s="162"/>
    </row>
    <row r="127" spans="1:11" s="57" customFormat="1" x14ac:dyDescent="0.25">
      <c r="A127" s="150"/>
      <c r="D127" s="161"/>
      <c r="E127" s="162"/>
      <c r="F127" s="340"/>
      <c r="G127" s="163"/>
      <c r="H127" s="330"/>
      <c r="I127" s="165"/>
      <c r="J127" s="166"/>
      <c r="K127" s="158"/>
    </row>
    <row r="128" spans="1:11" s="57" customFormat="1" x14ac:dyDescent="0.25">
      <c r="A128" s="150"/>
      <c r="D128" s="161"/>
      <c r="E128" s="162"/>
      <c r="F128" s="340"/>
      <c r="G128" s="163"/>
      <c r="H128" s="330"/>
      <c r="I128" s="165"/>
      <c r="J128" s="166"/>
      <c r="K128" s="158"/>
    </row>
    <row r="129" spans="1:11" s="57" customFormat="1" x14ac:dyDescent="0.25">
      <c r="A129" s="150"/>
      <c r="D129" s="161"/>
      <c r="E129" s="162"/>
      <c r="F129" s="340"/>
      <c r="G129" s="163"/>
      <c r="H129" s="330"/>
      <c r="I129" s="165"/>
      <c r="J129" s="167"/>
      <c r="K129" s="158"/>
    </row>
    <row r="130" spans="1:11" s="57" customFormat="1" x14ac:dyDescent="0.25">
      <c r="A130" s="150"/>
      <c r="D130" s="161"/>
      <c r="E130" s="163"/>
      <c r="F130" s="340"/>
      <c r="G130" s="169"/>
      <c r="H130" s="330"/>
      <c r="I130" s="168"/>
      <c r="J130" s="167"/>
      <c r="K130" s="158"/>
    </row>
    <row r="131" spans="1:11" s="57" customFormat="1" x14ac:dyDescent="0.25">
      <c r="A131" s="150"/>
      <c r="D131" s="158"/>
      <c r="E131" s="163"/>
      <c r="F131" s="340"/>
      <c r="G131" s="163"/>
      <c r="H131" s="330"/>
      <c r="I131" s="165"/>
      <c r="J131" s="167"/>
      <c r="K131" s="160"/>
    </row>
    <row r="132" spans="1:11" s="57" customFormat="1" x14ac:dyDescent="0.25">
      <c r="A132" s="150"/>
      <c r="D132" s="159"/>
      <c r="E132" s="155"/>
      <c r="F132" s="339"/>
      <c r="G132" s="155"/>
      <c r="H132" s="330"/>
      <c r="I132" s="156"/>
      <c r="J132" s="157"/>
      <c r="K132" s="160"/>
    </row>
    <row r="133" spans="1:11" s="57" customFormat="1" x14ac:dyDescent="0.25">
      <c r="A133" s="150"/>
      <c r="D133" s="161"/>
      <c r="E133" s="162"/>
      <c r="F133" s="340"/>
      <c r="G133" s="163"/>
      <c r="H133" s="330"/>
      <c r="I133" s="165"/>
      <c r="J133" s="167"/>
      <c r="K133" s="158"/>
    </row>
    <row r="134" spans="1:11" s="57" customFormat="1" x14ac:dyDescent="0.25">
      <c r="A134" s="150"/>
      <c r="D134" s="161"/>
      <c r="E134" s="162"/>
      <c r="F134" s="340"/>
      <c r="G134" s="163"/>
      <c r="H134" s="330"/>
      <c r="I134" s="165"/>
      <c r="J134" s="166"/>
      <c r="K134" s="158"/>
    </row>
    <row r="135" spans="1:11" s="57" customFormat="1" x14ac:dyDescent="0.25">
      <c r="A135" s="150"/>
      <c r="D135" s="158"/>
      <c r="E135" s="163"/>
      <c r="F135" s="340"/>
      <c r="G135" s="163"/>
      <c r="H135" s="330"/>
      <c r="I135" s="165"/>
      <c r="J135" s="167"/>
      <c r="K135" s="160"/>
    </row>
    <row r="136" spans="1:11" s="57" customFormat="1" x14ac:dyDescent="0.25">
      <c r="A136" s="150"/>
      <c r="D136" s="161"/>
      <c r="E136" s="162"/>
      <c r="F136" s="340"/>
      <c r="G136" s="163"/>
      <c r="H136" s="330"/>
      <c r="I136" s="165"/>
      <c r="J136" s="167"/>
      <c r="K136" s="160"/>
    </row>
    <row r="137" spans="1:11" s="57" customFormat="1" x14ac:dyDescent="0.25">
      <c r="A137" s="150"/>
      <c r="D137" s="158"/>
      <c r="E137" s="162"/>
      <c r="F137" s="340"/>
      <c r="G137" s="163"/>
      <c r="H137" s="330"/>
      <c r="I137" s="165"/>
      <c r="J137" s="167"/>
      <c r="K137" s="160"/>
    </row>
    <row r="138" spans="1:11" s="57" customFormat="1" x14ac:dyDescent="0.25">
      <c r="A138" s="150"/>
      <c r="D138" s="158"/>
      <c r="E138" s="163"/>
      <c r="F138" s="340"/>
      <c r="G138" s="163"/>
      <c r="H138" s="330"/>
      <c r="I138" s="165"/>
      <c r="J138" s="167"/>
      <c r="K138" s="160"/>
    </row>
    <row r="139" spans="1:11" s="57" customFormat="1" x14ac:dyDescent="0.25">
      <c r="A139" s="150"/>
      <c r="D139" s="158"/>
      <c r="E139" s="163"/>
      <c r="F139" s="340"/>
      <c r="G139" s="163"/>
      <c r="H139" s="330"/>
      <c r="I139" s="165"/>
      <c r="J139" s="167"/>
      <c r="K139" s="158"/>
    </row>
    <row r="140" spans="1:11" s="57" customFormat="1" x14ac:dyDescent="0.25">
      <c r="A140" s="150"/>
      <c r="D140" s="158"/>
      <c r="E140" s="163"/>
      <c r="F140" s="340"/>
      <c r="G140" s="163"/>
      <c r="H140" s="330"/>
      <c r="I140" s="165"/>
      <c r="J140" s="167"/>
      <c r="K140" s="158"/>
    </row>
    <row r="141" spans="1:11" s="57" customFormat="1" x14ac:dyDescent="0.25">
      <c r="A141" s="150"/>
      <c r="D141" s="158"/>
      <c r="E141" s="163"/>
      <c r="F141" s="340"/>
      <c r="G141" s="163"/>
      <c r="H141" s="330"/>
      <c r="I141" s="165"/>
      <c r="J141" s="167"/>
      <c r="K141" s="158"/>
    </row>
    <row r="142" spans="1:11" s="57" customFormat="1" x14ac:dyDescent="0.25">
      <c r="A142" s="150"/>
      <c r="D142" s="158"/>
      <c r="E142" s="163"/>
      <c r="F142" s="340"/>
      <c r="G142" s="163"/>
      <c r="H142" s="330"/>
      <c r="I142" s="165"/>
      <c r="J142" s="167"/>
      <c r="K142" s="158"/>
    </row>
    <row r="143" spans="1:11" s="57" customFormat="1" x14ac:dyDescent="0.25">
      <c r="A143" s="150"/>
      <c r="D143" s="158"/>
      <c r="E143" s="162"/>
      <c r="F143" s="340"/>
      <c r="G143" s="163"/>
      <c r="H143" s="330"/>
      <c r="I143" s="165"/>
      <c r="J143" s="167"/>
      <c r="K143" s="158"/>
    </row>
    <row r="144" spans="1:11" s="57" customFormat="1" x14ac:dyDescent="0.25">
      <c r="A144" s="150"/>
      <c r="D144" s="158"/>
      <c r="E144" s="162"/>
      <c r="F144" s="340"/>
      <c r="G144" s="163"/>
      <c r="H144" s="330"/>
      <c r="I144" s="165"/>
      <c r="J144" s="167"/>
      <c r="K144" s="160"/>
    </row>
    <row r="145" spans="1:11" s="57" customFormat="1" x14ac:dyDescent="0.25">
      <c r="A145" s="150"/>
      <c r="D145" s="158"/>
      <c r="E145" s="163"/>
      <c r="F145" s="340"/>
      <c r="G145" s="163"/>
      <c r="H145" s="330"/>
      <c r="I145" s="165"/>
      <c r="J145" s="167"/>
      <c r="K145" s="158"/>
    </row>
    <row r="146" spans="1:11" s="57" customFormat="1" x14ac:dyDescent="0.25">
      <c r="A146" s="150"/>
      <c r="D146" s="158"/>
      <c r="E146" s="162"/>
      <c r="F146" s="340"/>
      <c r="G146" s="163"/>
      <c r="H146" s="330"/>
      <c r="I146" s="165"/>
      <c r="J146" s="167"/>
      <c r="K146" s="158"/>
    </row>
    <row r="147" spans="1:11" s="57" customFormat="1" x14ac:dyDescent="0.25">
      <c r="A147" s="150"/>
      <c r="D147" s="158"/>
      <c r="E147" s="162"/>
      <c r="F147" s="340"/>
      <c r="G147" s="163"/>
      <c r="H147" s="330"/>
      <c r="I147" s="165"/>
      <c r="J147" s="167"/>
      <c r="K147" s="160"/>
    </row>
    <row r="148" spans="1:11" s="57" customFormat="1" x14ac:dyDescent="0.25">
      <c r="A148" s="150"/>
      <c r="D148" s="158"/>
      <c r="E148" s="162"/>
      <c r="F148" s="340"/>
      <c r="G148" s="163"/>
      <c r="H148" s="330"/>
      <c r="I148" s="165"/>
      <c r="J148" s="167"/>
      <c r="K148" s="158"/>
    </row>
    <row r="149" spans="1:11" s="57" customFormat="1" x14ac:dyDescent="0.25">
      <c r="A149" s="150"/>
      <c r="D149" s="161"/>
      <c r="E149" s="162"/>
      <c r="F149" s="340"/>
      <c r="G149" s="163"/>
      <c r="H149" s="330"/>
      <c r="I149" s="165"/>
      <c r="J149" s="166"/>
      <c r="K149" s="160"/>
    </row>
    <row r="150" spans="1:11" s="57" customFormat="1" x14ac:dyDescent="0.25">
      <c r="A150" s="150"/>
      <c r="D150" s="158"/>
      <c r="E150" s="163"/>
      <c r="F150" s="340"/>
      <c r="G150" s="163"/>
      <c r="H150" s="330"/>
      <c r="I150" s="165"/>
      <c r="J150" s="167"/>
      <c r="K150" s="170"/>
    </row>
    <row r="151" spans="1:11" s="57" customFormat="1" x14ac:dyDescent="0.25">
      <c r="A151" s="150"/>
      <c r="D151" s="158"/>
      <c r="E151" s="163"/>
      <c r="F151" s="340"/>
      <c r="G151" s="163"/>
      <c r="H151" s="330"/>
      <c r="I151" s="165"/>
      <c r="J151" s="167"/>
      <c r="K151" s="160"/>
    </row>
    <row r="152" spans="1:11" s="57" customFormat="1" x14ac:dyDescent="0.25">
      <c r="A152" s="150"/>
      <c r="D152" s="158"/>
      <c r="E152" s="163"/>
      <c r="F152" s="340"/>
      <c r="G152" s="163"/>
      <c r="H152" s="330"/>
      <c r="I152" s="165"/>
      <c r="J152" s="167"/>
      <c r="K152" s="160"/>
    </row>
    <row r="153" spans="1:11" s="57" customFormat="1" x14ac:dyDescent="0.25">
      <c r="A153" s="150"/>
      <c r="D153" s="158"/>
      <c r="E153" s="162"/>
      <c r="F153" s="339"/>
      <c r="G153" s="155"/>
      <c r="H153" s="330"/>
      <c r="I153" s="165"/>
      <c r="J153" s="157"/>
      <c r="K153" s="160"/>
    </row>
    <row r="154" spans="1:11" s="57" customFormat="1" x14ac:dyDescent="0.25">
      <c r="A154" s="150"/>
      <c r="D154" s="158"/>
      <c r="E154" s="162"/>
      <c r="F154" s="339"/>
      <c r="G154" s="155"/>
      <c r="H154" s="329"/>
      <c r="I154" s="156"/>
      <c r="J154" s="157"/>
      <c r="K154" s="160"/>
    </row>
    <row r="155" spans="1:11" s="57" customFormat="1" x14ac:dyDescent="0.25">
      <c r="A155" s="150"/>
      <c r="D155" s="161"/>
      <c r="E155" s="162"/>
      <c r="F155" s="340"/>
      <c r="G155" s="163"/>
      <c r="H155" s="330"/>
      <c r="I155" s="165"/>
      <c r="J155" s="166"/>
      <c r="K155" s="158"/>
    </row>
    <row r="156" spans="1:11" s="57" customFormat="1" x14ac:dyDescent="0.25">
      <c r="A156" s="150"/>
      <c r="D156" s="159"/>
      <c r="E156" s="155"/>
      <c r="F156" s="339"/>
      <c r="G156" s="155"/>
      <c r="H156" s="329"/>
      <c r="I156" s="156"/>
      <c r="J156" s="157"/>
      <c r="K156" s="158"/>
    </row>
    <row r="157" spans="1:11" s="57" customFormat="1" x14ac:dyDescent="0.25">
      <c r="A157" s="150"/>
      <c r="D157" s="159"/>
      <c r="E157" s="155"/>
      <c r="F157" s="339"/>
      <c r="G157" s="155"/>
      <c r="H157" s="329"/>
      <c r="I157" s="156"/>
      <c r="J157" s="157"/>
      <c r="K157" s="171"/>
    </row>
    <row r="158" spans="1:11" s="57" customFormat="1" x14ac:dyDescent="0.25">
      <c r="A158" s="150"/>
      <c r="D158" s="158"/>
      <c r="E158" s="163"/>
      <c r="F158" s="340"/>
      <c r="G158" s="163"/>
      <c r="H158" s="162"/>
      <c r="I158" s="164"/>
      <c r="J158" s="167"/>
      <c r="K158" s="158"/>
    </row>
    <row r="159" spans="1:11" s="57" customFormat="1" x14ac:dyDescent="0.25">
      <c r="A159" s="150"/>
      <c r="E159" s="150"/>
      <c r="F159" s="335"/>
      <c r="G159" s="150"/>
      <c r="H159" s="150"/>
    </row>
    <row r="160" spans="1:11" s="57" customFormat="1" x14ac:dyDescent="0.25">
      <c r="A160" s="150"/>
      <c r="D160" s="161"/>
      <c r="E160" s="162"/>
      <c r="F160" s="340"/>
      <c r="G160" s="163"/>
      <c r="H160" s="330"/>
      <c r="I160" s="165"/>
      <c r="J160" s="167"/>
      <c r="K160" s="160"/>
    </row>
    <row r="161" spans="1:11" s="57" customFormat="1" x14ac:dyDescent="0.25">
      <c r="A161" s="150"/>
      <c r="D161" s="158"/>
      <c r="E161" s="163"/>
      <c r="F161" s="340"/>
      <c r="G161" s="163"/>
      <c r="H161" s="330"/>
      <c r="I161" s="168"/>
      <c r="J161" s="157"/>
      <c r="K161" s="158"/>
    </row>
    <row r="162" spans="1:11" s="57" customFormat="1" x14ac:dyDescent="0.25">
      <c r="A162" s="150"/>
      <c r="D162" s="161"/>
      <c r="E162" s="162"/>
      <c r="F162" s="340"/>
      <c r="G162" s="163"/>
      <c r="H162" s="330"/>
      <c r="I162" s="165"/>
      <c r="J162" s="167"/>
      <c r="K162" s="158"/>
    </row>
    <row r="163" spans="1:11" s="57" customFormat="1" x14ac:dyDescent="0.25">
      <c r="A163" s="150"/>
      <c r="D163" s="161"/>
      <c r="E163" s="162"/>
      <c r="F163" s="340"/>
      <c r="G163" s="163"/>
      <c r="H163" s="330"/>
      <c r="I163" s="165"/>
      <c r="J163" s="167"/>
      <c r="K163" s="158"/>
    </row>
    <row r="164" spans="1:11" s="57" customFormat="1" x14ac:dyDescent="0.25">
      <c r="A164" s="150"/>
      <c r="D164" s="161"/>
      <c r="E164" s="162"/>
      <c r="F164" s="340"/>
      <c r="G164" s="163"/>
      <c r="H164" s="330"/>
      <c r="I164" s="165"/>
      <c r="J164" s="167"/>
      <c r="K164" s="158"/>
    </row>
    <row r="165" spans="1:11" s="57" customFormat="1" x14ac:dyDescent="0.25">
      <c r="A165" s="150"/>
      <c r="D165" s="161"/>
      <c r="E165" s="162"/>
      <c r="F165" s="340"/>
      <c r="G165" s="163"/>
      <c r="H165" s="330"/>
      <c r="I165" s="165"/>
      <c r="J165" s="167"/>
      <c r="K165" s="158"/>
    </row>
    <row r="166" spans="1:11" s="57" customFormat="1" x14ac:dyDescent="0.25">
      <c r="A166" s="150"/>
      <c r="D166" s="161"/>
      <c r="E166" s="162"/>
      <c r="F166" s="340"/>
      <c r="G166" s="163"/>
      <c r="H166" s="330"/>
      <c r="I166" s="165"/>
      <c r="J166" s="167"/>
      <c r="K166" s="158"/>
    </row>
    <row r="167" spans="1:11" s="57" customFormat="1" x14ac:dyDescent="0.25">
      <c r="A167" s="150"/>
      <c r="D167" s="161"/>
      <c r="E167" s="162"/>
      <c r="F167" s="340"/>
      <c r="G167" s="163"/>
      <c r="H167" s="330"/>
      <c r="I167" s="165"/>
      <c r="J167" s="167"/>
      <c r="K167" s="158"/>
    </row>
    <row r="168" spans="1:11" s="57" customFormat="1" x14ac:dyDescent="0.25">
      <c r="A168" s="150"/>
      <c r="D168" s="159"/>
      <c r="E168" s="155"/>
      <c r="F168" s="339"/>
      <c r="G168" s="155"/>
      <c r="H168" s="329"/>
      <c r="I168" s="156"/>
      <c r="J168" s="157"/>
      <c r="K168" s="158"/>
    </row>
    <row r="169" spans="1:11" s="57" customFormat="1" x14ac:dyDescent="0.25">
      <c r="A169" s="150"/>
      <c r="D169" s="159"/>
      <c r="E169" s="155"/>
      <c r="F169" s="339"/>
      <c r="G169" s="155"/>
      <c r="H169" s="329"/>
      <c r="I169" s="156"/>
      <c r="J169" s="157"/>
      <c r="K169" s="158"/>
    </row>
    <row r="170" spans="1:11" s="57" customFormat="1" x14ac:dyDescent="0.25">
      <c r="A170" s="150"/>
      <c r="D170" s="158"/>
      <c r="E170" s="163"/>
      <c r="F170" s="340"/>
      <c r="G170" s="163"/>
      <c r="H170" s="330"/>
      <c r="I170" s="168"/>
      <c r="J170" s="167"/>
      <c r="K170" s="158"/>
    </row>
    <row r="171" spans="1:11" s="57" customFormat="1" x14ac:dyDescent="0.25">
      <c r="A171" s="150"/>
      <c r="D171" s="158"/>
      <c r="E171" s="163"/>
      <c r="F171" s="340"/>
      <c r="G171" s="163"/>
      <c r="H171" s="330"/>
      <c r="I171" s="168"/>
      <c r="J171" s="167"/>
      <c r="K171" s="158"/>
    </row>
    <row r="172" spans="1:11" s="57" customFormat="1" x14ac:dyDescent="0.25">
      <c r="A172" s="150"/>
      <c r="D172" s="158"/>
      <c r="E172" s="163"/>
      <c r="F172" s="340"/>
      <c r="G172" s="163"/>
      <c r="H172" s="330"/>
      <c r="I172" s="168"/>
      <c r="J172" s="167"/>
      <c r="K172" s="158"/>
    </row>
    <row r="173" spans="1:11" s="57" customFormat="1" x14ac:dyDescent="0.25">
      <c r="A173" s="150"/>
      <c r="D173" s="159"/>
      <c r="E173" s="155"/>
      <c r="F173" s="339"/>
      <c r="G173" s="155"/>
      <c r="H173" s="329"/>
      <c r="I173" s="156"/>
      <c r="J173" s="157"/>
      <c r="K173" s="158"/>
    </row>
    <row r="174" spans="1:11" s="57" customFormat="1" x14ac:dyDescent="0.25">
      <c r="A174" s="150"/>
      <c r="D174" s="161"/>
      <c r="E174" s="162"/>
      <c r="F174" s="340"/>
      <c r="G174" s="163"/>
      <c r="H174" s="330"/>
      <c r="I174" s="165"/>
      <c r="J174" s="167"/>
      <c r="K174" s="158"/>
    </row>
    <row r="175" spans="1:11" s="57" customFormat="1" x14ac:dyDescent="0.25">
      <c r="A175" s="150"/>
      <c r="D175" s="158"/>
      <c r="E175" s="162"/>
      <c r="F175" s="340"/>
      <c r="G175" s="163"/>
      <c r="H175" s="330"/>
      <c r="I175" s="168"/>
      <c r="J175" s="167"/>
      <c r="K175" s="158"/>
    </row>
    <row r="176" spans="1:11" s="57" customFormat="1" x14ac:dyDescent="0.25">
      <c r="A176" s="150"/>
      <c r="D176" s="158"/>
      <c r="E176" s="163"/>
      <c r="F176" s="340"/>
      <c r="G176" s="163"/>
      <c r="H176" s="330"/>
      <c r="I176" s="168"/>
      <c r="J176" s="167"/>
      <c r="K176" s="158"/>
    </row>
    <row r="177" spans="1:11" s="57" customFormat="1" x14ac:dyDescent="0.25">
      <c r="A177" s="150"/>
      <c r="D177" s="158"/>
      <c r="E177" s="163"/>
      <c r="F177" s="340"/>
      <c r="G177" s="163"/>
      <c r="H177" s="330"/>
      <c r="I177" s="168"/>
      <c r="J177" s="167"/>
      <c r="K177" s="158"/>
    </row>
    <row r="178" spans="1:11" s="57" customFormat="1" x14ac:dyDescent="0.25">
      <c r="A178" s="150"/>
      <c r="D178" s="161"/>
      <c r="E178" s="162"/>
      <c r="F178" s="340"/>
      <c r="G178" s="163"/>
      <c r="H178" s="330"/>
      <c r="I178" s="165"/>
      <c r="J178" s="166"/>
      <c r="K178" s="158"/>
    </row>
    <row r="179" spans="1:11" s="57" customFormat="1" x14ac:dyDescent="0.25">
      <c r="A179" s="150"/>
      <c r="D179" s="159"/>
      <c r="E179" s="155"/>
      <c r="F179" s="339"/>
      <c r="G179" s="155"/>
      <c r="H179" s="329"/>
      <c r="I179" s="156"/>
      <c r="J179" s="157"/>
      <c r="K179" s="158"/>
    </row>
    <row r="180" spans="1:11" s="57" customFormat="1" x14ac:dyDescent="0.25">
      <c r="A180" s="150"/>
      <c r="D180" s="159"/>
      <c r="E180" s="155"/>
      <c r="F180" s="339"/>
      <c r="G180" s="155"/>
      <c r="H180" s="329"/>
      <c r="I180" s="168"/>
      <c r="J180" s="157"/>
      <c r="K180" s="158"/>
    </row>
    <row r="181" spans="1:11" s="57" customFormat="1" x14ac:dyDescent="0.25">
      <c r="A181" s="150"/>
      <c r="E181" s="150"/>
      <c r="F181" s="335"/>
      <c r="G181" s="150"/>
      <c r="H181" s="150"/>
    </row>
    <row r="182" spans="1:11" s="57" customFormat="1" x14ac:dyDescent="0.25">
      <c r="A182" s="150"/>
      <c r="E182" s="150"/>
      <c r="F182" s="335"/>
      <c r="G182" s="150"/>
      <c r="H182" s="150"/>
    </row>
    <row r="183" spans="1:11" s="57" customFormat="1" x14ac:dyDescent="0.25">
      <c r="A183" s="150"/>
      <c r="D183" s="158"/>
      <c r="E183" s="162"/>
      <c r="F183" s="340"/>
      <c r="G183" s="163"/>
      <c r="H183" s="330"/>
      <c r="I183" s="165"/>
      <c r="J183" s="167"/>
      <c r="K183" s="160"/>
    </row>
    <row r="184" spans="1:11" s="57" customFormat="1" x14ac:dyDescent="0.25">
      <c r="A184" s="150"/>
      <c r="D184" s="158"/>
      <c r="E184" s="162"/>
      <c r="F184" s="340"/>
      <c r="G184" s="163"/>
      <c r="H184" s="330"/>
      <c r="I184" s="165"/>
      <c r="J184" s="167"/>
      <c r="K184" s="160"/>
    </row>
    <row r="185" spans="1:11" s="57" customFormat="1" x14ac:dyDescent="0.25">
      <c r="A185" s="150"/>
      <c r="D185" s="158"/>
      <c r="E185" s="163"/>
      <c r="F185" s="340"/>
      <c r="G185" s="163"/>
      <c r="H185" s="330"/>
      <c r="I185" s="165"/>
      <c r="J185" s="167"/>
      <c r="K185" s="160"/>
    </row>
    <row r="186" spans="1:11" s="57" customFormat="1" x14ac:dyDescent="0.25">
      <c r="A186" s="150"/>
      <c r="D186" s="158"/>
      <c r="E186" s="163"/>
      <c r="F186" s="340"/>
      <c r="G186" s="163"/>
      <c r="H186" s="330"/>
      <c r="I186" s="165"/>
      <c r="J186" s="167"/>
      <c r="K186" s="160"/>
    </row>
    <row r="187" spans="1:11" s="57" customFormat="1" x14ac:dyDescent="0.25">
      <c r="A187" s="150"/>
      <c r="D187" s="158"/>
      <c r="E187" s="163"/>
      <c r="F187" s="340"/>
      <c r="G187" s="163"/>
      <c r="H187" s="330"/>
      <c r="I187" s="165"/>
      <c r="J187" s="167"/>
      <c r="K187" s="160"/>
    </row>
    <row r="188" spans="1:11" s="57" customFormat="1" x14ac:dyDescent="0.25">
      <c r="A188" s="150"/>
      <c r="D188" s="158"/>
      <c r="E188" s="163"/>
      <c r="F188" s="340"/>
      <c r="G188" s="163"/>
      <c r="H188" s="330"/>
      <c r="I188" s="165"/>
      <c r="J188" s="167"/>
      <c r="K188" s="160"/>
    </row>
    <row r="189" spans="1:11" s="57" customFormat="1" x14ac:dyDescent="0.25">
      <c r="A189" s="150"/>
      <c r="D189" s="158"/>
      <c r="E189" s="163"/>
      <c r="F189" s="340"/>
      <c r="G189" s="163"/>
      <c r="H189" s="330"/>
      <c r="I189" s="165"/>
      <c r="J189" s="167"/>
      <c r="K189" s="160"/>
    </row>
    <row r="190" spans="1:11" s="57" customFormat="1" x14ac:dyDescent="0.25">
      <c r="A190" s="150"/>
      <c r="D190" s="158"/>
      <c r="E190" s="163"/>
      <c r="F190" s="340"/>
      <c r="G190" s="163"/>
      <c r="H190" s="330"/>
      <c r="I190" s="165"/>
      <c r="J190" s="167"/>
      <c r="K190" s="160"/>
    </row>
    <row r="191" spans="1:11" s="57" customFormat="1" x14ac:dyDescent="0.25">
      <c r="A191" s="150"/>
      <c r="D191" s="158"/>
      <c r="E191" s="163"/>
      <c r="F191" s="340"/>
      <c r="G191" s="163"/>
      <c r="H191" s="330"/>
      <c r="I191" s="165"/>
      <c r="J191" s="167"/>
      <c r="K191" s="160"/>
    </row>
    <row r="192" spans="1:11" s="57" customFormat="1" x14ac:dyDescent="0.25">
      <c r="A192" s="150"/>
      <c r="D192" s="161"/>
      <c r="E192" s="162"/>
      <c r="F192" s="340"/>
      <c r="G192" s="163"/>
      <c r="H192" s="330"/>
      <c r="I192" s="165"/>
      <c r="J192" s="167"/>
      <c r="K192" s="160"/>
    </row>
    <row r="193" spans="1:11" s="57" customFormat="1" x14ac:dyDescent="0.25">
      <c r="A193" s="150"/>
      <c r="D193" s="158"/>
      <c r="E193" s="163"/>
      <c r="F193" s="340"/>
      <c r="G193" s="163"/>
      <c r="H193" s="330"/>
      <c r="I193" s="165"/>
      <c r="J193" s="167"/>
      <c r="K193" s="158"/>
    </row>
    <row r="194" spans="1:11" s="57" customFormat="1" x14ac:dyDescent="0.25">
      <c r="A194" s="150"/>
      <c r="D194" s="158"/>
      <c r="E194" s="163"/>
      <c r="F194" s="340"/>
      <c r="G194" s="163"/>
      <c r="H194" s="330"/>
      <c r="I194" s="165"/>
      <c r="J194" s="167"/>
      <c r="K194" s="158"/>
    </row>
    <row r="195" spans="1:11" s="57" customFormat="1" x14ac:dyDescent="0.25">
      <c r="A195" s="150"/>
      <c r="D195" s="158"/>
      <c r="E195" s="163"/>
      <c r="F195" s="340"/>
      <c r="G195" s="163"/>
      <c r="H195" s="330"/>
      <c r="I195" s="165"/>
      <c r="J195" s="167"/>
      <c r="K195" s="158"/>
    </row>
    <row r="196" spans="1:11" s="57" customFormat="1" x14ac:dyDescent="0.25">
      <c r="A196" s="150"/>
      <c r="D196" s="161"/>
      <c r="E196" s="162"/>
      <c r="F196" s="340"/>
      <c r="G196" s="163"/>
      <c r="H196" s="330"/>
      <c r="I196" s="165"/>
      <c r="J196" s="167"/>
      <c r="K196" s="158"/>
    </row>
    <row r="197" spans="1:11" s="57" customFormat="1" x14ac:dyDescent="0.25">
      <c r="A197" s="150"/>
      <c r="D197" s="161"/>
      <c r="E197" s="162"/>
      <c r="F197" s="340"/>
      <c r="G197" s="163"/>
      <c r="H197" s="330"/>
      <c r="I197" s="165"/>
      <c r="J197" s="166"/>
      <c r="K197" s="158"/>
    </row>
    <row r="198" spans="1:11" s="57" customFormat="1" x14ac:dyDescent="0.25">
      <c r="A198" s="150"/>
      <c r="D198" s="158"/>
      <c r="E198" s="163"/>
      <c r="F198" s="340"/>
      <c r="G198" s="163"/>
      <c r="H198" s="330"/>
      <c r="I198" s="165"/>
      <c r="J198" s="167"/>
      <c r="K198" s="158"/>
    </row>
    <row r="199" spans="1:11" s="57" customFormat="1" x14ac:dyDescent="0.25">
      <c r="A199" s="150"/>
      <c r="D199" s="161"/>
      <c r="E199" s="162"/>
      <c r="F199" s="340"/>
      <c r="G199" s="163"/>
      <c r="H199" s="330"/>
      <c r="I199" s="165"/>
      <c r="J199" s="167"/>
      <c r="K199" s="158"/>
    </row>
    <row r="200" spans="1:11" s="57" customFormat="1" x14ac:dyDescent="0.25">
      <c r="A200" s="150"/>
      <c r="D200" s="158"/>
      <c r="E200" s="163"/>
      <c r="F200" s="340"/>
      <c r="G200" s="163"/>
      <c r="H200" s="330"/>
      <c r="I200" s="165"/>
      <c r="J200" s="167"/>
      <c r="K200" s="158"/>
    </row>
    <row r="201" spans="1:11" s="57" customFormat="1" x14ac:dyDescent="0.25">
      <c r="A201" s="150"/>
      <c r="D201" s="158"/>
      <c r="E201" s="162"/>
      <c r="F201" s="340"/>
      <c r="G201" s="163"/>
      <c r="H201" s="330"/>
      <c r="I201" s="165"/>
      <c r="J201" s="167"/>
      <c r="K201" s="158"/>
    </row>
    <row r="202" spans="1:11" s="57" customFormat="1" x14ac:dyDescent="0.25">
      <c r="A202" s="150"/>
      <c r="D202" s="158"/>
      <c r="E202" s="163"/>
      <c r="F202" s="340"/>
      <c r="G202" s="163"/>
      <c r="H202" s="330"/>
      <c r="I202" s="165"/>
      <c r="J202" s="167"/>
      <c r="K202" s="160"/>
    </row>
    <row r="203" spans="1:11" s="57" customFormat="1" x14ac:dyDescent="0.25">
      <c r="A203" s="150"/>
      <c r="D203" s="158"/>
      <c r="E203" s="163"/>
      <c r="F203" s="340"/>
      <c r="G203" s="163"/>
      <c r="H203" s="330"/>
      <c r="I203" s="165"/>
      <c r="J203" s="167"/>
      <c r="K203" s="160"/>
    </row>
    <row r="204" spans="1:11" s="57" customFormat="1" x14ac:dyDescent="0.25">
      <c r="A204" s="150"/>
      <c r="D204" s="158"/>
      <c r="E204" s="163"/>
      <c r="F204" s="340"/>
      <c r="G204" s="163"/>
      <c r="H204" s="330"/>
      <c r="I204" s="165"/>
      <c r="J204" s="167"/>
      <c r="K204" s="160"/>
    </row>
    <row r="205" spans="1:11" s="57" customFormat="1" x14ac:dyDescent="0.25">
      <c r="A205" s="150"/>
      <c r="D205" s="158"/>
      <c r="E205" s="163"/>
      <c r="F205" s="340"/>
      <c r="G205" s="163"/>
      <c r="H205" s="330"/>
      <c r="I205" s="165"/>
      <c r="J205" s="167"/>
      <c r="K205" s="160"/>
    </row>
    <row r="206" spans="1:11" s="57" customFormat="1" x14ac:dyDescent="0.25">
      <c r="A206" s="150"/>
      <c r="D206" s="158"/>
      <c r="E206" s="162"/>
      <c r="F206" s="340"/>
      <c r="G206" s="163"/>
      <c r="H206" s="330"/>
      <c r="I206" s="165"/>
      <c r="J206" s="167"/>
      <c r="K206" s="160"/>
    </row>
    <row r="207" spans="1:11" s="57" customFormat="1" x14ac:dyDescent="0.25">
      <c r="A207" s="150"/>
      <c r="D207" s="158"/>
      <c r="E207" s="163"/>
      <c r="F207" s="340"/>
      <c r="G207" s="163"/>
      <c r="H207" s="330"/>
      <c r="I207" s="165"/>
      <c r="J207" s="167"/>
      <c r="K207" s="160"/>
    </row>
    <row r="208" spans="1:11" s="57" customFormat="1" x14ac:dyDescent="0.25">
      <c r="A208" s="150"/>
      <c r="D208" s="158"/>
      <c r="E208" s="162"/>
      <c r="F208" s="340"/>
      <c r="G208" s="163"/>
      <c r="H208" s="330"/>
      <c r="I208" s="165"/>
      <c r="J208" s="167"/>
      <c r="K208" s="160"/>
    </row>
    <row r="209" spans="1:11" s="57" customFormat="1" x14ac:dyDescent="0.25">
      <c r="A209" s="150"/>
      <c r="D209" s="158"/>
      <c r="E209" s="162"/>
      <c r="F209" s="340"/>
      <c r="G209" s="163"/>
      <c r="H209" s="330"/>
      <c r="I209" s="165"/>
      <c r="J209" s="167"/>
      <c r="K209" s="158"/>
    </row>
    <row r="210" spans="1:11" s="57" customFormat="1" x14ac:dyDescent="0.25">
      <c r="A210" s="150"/>
      <c r="D210" s="158"/>
      <c r="E210" s="163"/>
      <c r="F210" s="340"/>
      <c r="G210" s="163"/>
      <c r="H210" s="330"/>
      <c r="I210" s="165"/>
      <c r="J210" s="167"/>
      <c r="K210" s="158"/>
    </row>
    <row r="211" spans="1:11" s="57" customFormat="1" x14ac:dyDescent="0.25">
      <c r="A211" s="150"/>
      <c r="D211" s="158"/>
      <c r="E211" s="162"/>
      <c r="F211" s="340"/>
      <c r="G211" s="163"/>
      <c r="H211" s="330"/>
      <c r="I211" s="165"/>
      <c r="J211" s="167"/>
      <c r="K211" s="158"/>
    </row>
    <row r="212" spans="1:11" s="57" customFormat="1" x14ac:dyDescent="0.25">
      <c r="A212" s="150"/>
      <c r="D212" s="158"/>
      <c r="E212" s="162"/>
      <c r="F212" s="340"/>
      <c r="G212" s="163"/>
      <c r="H212" s="330"/>
      <c r="I212" s="165"/>
      <c r="J212" s="167"/>
      <c r="K212" s="158"/>
    </row>
    <row r="213" spans="1:11" s="57" customFormat="1" x14ac:dyDescent="0.25">
      <c r="A213" s="150"/>
      <c r="D213" s="158"/>
      <c r="E213" s="162"/>
      <c r="F213" s="340"/>
      <c r="G213" s="163"/>
      <c r="H213" s="330"/>
      <c r="I213" s="165"/>
      <c r="J213" s="167"/>
      <c r="K213" s="158"/>
    </row>
    <row r="214" spans="1:11" s="57" customFormat="1" x14ac:dyDescent="0.25">
      <c r="A214" s="150"/>
      <c r="D214" s="158"/>
      <c r="E214" s="162"/>
      <c r="F214" s="340"/>
      <c r="G214" s="163"/>
      <c r="H214" s="330"/>
      <c r="I214" s="165"/>
      <c r="J214" s="167"/>
      <c r="K214" s="158"/>
    </row>
    <row r="215" spans="1:11" s="57" customFormat="1" x14ac:dyDescent="0.25">
      <c r="A215" s="150"/>
      <c r="D215" s="158"/>
      <c r="E215" s="162"/>
      <c r="F215" s="340"/>
      <c r="G215" s="163"/>
      <c r="H215" s="330"/>
      <c r="I215" s="165"/>
      <c r="J215" s="167"/>
      <c r="K215" s="158"/>
    </row>
    <row r="216" spans="1:11" s="57" customFormat="1" x14ac:dyDescent="0.25">
      <c r="A216" s="150"/>
      <c r="D216" s="158"/>
      <c r="E216" s="162"/>
      <c r="F216" s="340"/>
      <c r="G216" s="163"/>
      <c r="H216" s="330"/>
      <c r="I216" s="165"/>
      <c r="J216" s="167"/>
      <c r="K216" s="160"/>
    </row>
    <row r="217" spans="1:11" s="57" customFormat="1" x14ac:dyDescent="0.25">
      <c r="A217" s="150"/>
      <c r="D217" s="158"/>
      <c r="E217" s="162"/>
      <c r="F217" s="340"/>
      <c r="G217" s="163"/>
      <c r="H217" s="330"/>
      <c r="I217" s="165"/>
      <c r="J217" s="167"/>
      <c r="K217" s="158"/>
    </row>
    <row r="218" spans="1:11" s="57" customFormat="1" x14ac:dyDescent="0.25">
      <c r="A218" s="150"/>
      <c r="D218" s="158"/>
      <c r="E218" s="162"/>
      <c r="F218" s="340"/>
      <c r="G218" s="163"/>
      <c r="H218" s="330"/>
      <c r="I218" s="165"/>
      <c r="J218" s="167"/>
      <c r="K218" s="158"/>
    </row>
    <row r="219" spans="1:11" s="57" customFormat="1" x14ac:dyDescent="0.25">
      <c r="A219" s="150"/>
      <c r="D219" s="158"/>
      <c r="E219" s="163"/>
      <c r="F219" s="340"/>
      <c r="G219" s="163"/>
      <c r="H219" s="330"/>
      <c r="I219" s="165"/>
      <c r="J219" s="167"/>
      <c r="K219" s="160"/>
    </row>
    <row r="220" spans="1:11" s="57" customFormat="1" x14ac:dyDescent="0.25">
      <c r="A220" s="150"/>
      <c r="D220" s="158"/>
      <c r="E220" s="163"/>
      <c r="F220" s="340"/>
      <c r="G220" s="163"/>
      <c r="H220" s="330"/>
      <c r="I220" s="165"/>
      <c r="J220" s="167"/>
      <c r="K220" s="160"/>
    </row>
    <row r="221" spans="1:11" s="57" customFormat="1" x14ac:dyDescent="0.25">
      <c r="A221" s="150"/>
      <c r="D221" s="158"/>
      <c r="E221" s="163"/>
      <c r="F221" s="340"/>
      <c r="G221" s="163"/>
      <c r="H221" s="330"/>
      <c r="I221" s="165"/>
      <c r="J221" s="167"/>
      <c r="K221" s="160"/>
    </row>
    <row r="222" spans="1:11" s="57" customFormat="1" x14ac:dyDescent="0.25">
      <c r="A222" s="150"/>
      <c r="D222" s="161"/>
      <c r="E222" s="162"/>
      <c r="F222" s="340"/>
      <c r="G222" s="163"/>
      <c r="H222" s="330"/>
      <c r="I222" s="165"/>
      <c r="J222" s="167"/>
      <c r="K222" s="158"/>
    </row>
    <row r="223" spans="1:11" s="57" customFormat="1" x14ac:dyDescent="0.25">
      <c r="A223" s="150"/>
      <c r="D223" s="159"/>
      <c r="E223" s="155"/>
      <c r="F223" s="339"/>
      <c r="G223" s="155"/>
      <c r="H223" s="329"/>
      <c r="I223" s="156"/>
      <c r="J223" s="157"/>
      <c r="K223" s="160"/>
    </row>
    <row r="224" spans="1:11" s="57" customFormat="1" x14ac:dyDescent="0.25">
      <c r="A224" s="150"/>
      <c r="D224" s="161"/>
      <c r="E224" s="162"/>
      <c r="F224" s="340"/>
      <c r="G224" s="163"/>
      <c r="H224" s="330"/>
      <c r="I224" s="165"/>
      <c r="J224" s="167"/>
      <c r="K224" s="160"/>
    </row>
    <row r="225" spans="1:11" s="57" customFormat="1" x14ac:dyDescent="0.25">
      <c r="A225" s="150"/>
      <c r="D225" s="161"/>
      <c r="E225" s="162"/>
      <c r="F225" s="340"/>
      <c r="G225" s="163"/>
      <c r="H225" s="330"/>
      <c r="I225" s="165"/>
      <c r="J225" s="167"/>
      <c r="K225" s="158"/>
    </row>
    <row r="226" spans="1:11" s="57" customFormat="1" x14ac:dyDescent="0.25">
      <c r="A226" s="150"/>
      <c r="D226" s="159"/>
      <c r="E226" s="155"/>
      <c r="F226" s="339"/>
      <c r="G226" s="155"/>
      <c r="H226" s="329"/>
      <c r="I226" s="156"/>
      <c r="J226" s="157"/>
      <c r="K226" s="158"/>
    </row>
    <row r="227" spans="1:11" s="57" customFormat="1" x14ac:dyDescent="0.25">
      <c r="A227" s="150"/>
      <c r="D227" s="158"/>
      <c r="E227" s="163"/>
      <c r="F227" s="340"/>
      <c r="G227" s="163"/>
      <c r="H227" s="162"/>
      <c r="I227" s="164"/>
      <c r="J227" s="167"/>
      <c r="K227" s="158"/>
    </row>
    <row r="228" spans="1:11" s="57" customFormat="1" x14ac:dyDescent="0.25">
      <c r="A228" s="150"/>
      <c r="D228" s="158"/>
      <c r="E228" s="163"/>
      <c r="F228" s="340"/>
      <c r="G228" s="163"/>
      <c r="H228" s="330"/>
      <c r="I228" s="165"/>
      <c r="J228" s="167"/>
      <c r="K228" s="160"/>
    </row>
    <row r="229" spans="1:11" s="57" customFormat="1" x14ac:dyDescent="0.25">
      <c r="A229" s="150"/>
      <c r="D229" s="158"/>
      <c r="E229" s="163"/>
      <c r="F229" s="340"/>
      <c r="G229" s="163"/>
      <c r="H229" s="330"/>
      <c r="I229" s="165"/>
      <c r="J229" s="167"/>
      <c r="K229" s="160"/>
    </row>
    <row r="230" spans="1:11" s="57" customFormat="1" x14ac:dyDescent="0.25">
      <c r="A230" s="150"/>
      <c r="D230" s="158"/>
      <c r="E230" s="163"/>
      <c r="F230" s="340"/>
      <c r="G230" s="163"/>
      <c r="H230" s="330"/>
      <c r="I230" s="165"/>
      <c r="J230" s="157"/>
      <c r="K230" s="160"/>
    </row>
    <row r="231" spans="1:11" s="57" customFormat="1" x14ac:dyDescent="0.25">
      <c r="A231" s="150"/>
      <c r="D231" s="158"/>
      <c r="E231" s="163"/>
      <c r="F231" s="340"/>
      <c r="G231" s="163"/>
      <c r="H231" s="330"/>
      <c r="I231" s="165"/>
      <c r="J231" s="167"/>
      <c r="K231" s="160"/>
    </row>
    <row r="232" spans="1:11" s="57" customFormat="1" x14ac:dyDescent="0.25">
      <c r="A232" s="150"/>
      <c r="D232" s="158"/>
      <c r="E232" s="163"/>
      <c r="F232" s="340"/>
      <c r="G232" s="163"/>
      <c r="H232" s="330"/>
      <c r="I232" s="165"/>
      <c r="J232" s="167"/>
      <c r="K232" s="160"/>
    </row>
    <row r="233" spans="1:11" s="57" customFormat="1" x14ac:dyDescent="0.25">
      <c r="A233" s="150"/>
      <c r="D233" s="158"/>
      <c r="E233" s="163"/>
      <c r="F233" s="340"/>
      <c r="G233" s="163"/>
      <c r="H233" s="330"/>
      <c r="I233" s="165"/>
      <c r="J233" s="167"/>
      <c r="K233" s="160"/>
    </row>
    <row r="234" spans="1:11" s="57" customFormat="1" x14ac:dyDescent="0.25">
      <c r="A234" s="150"/>
      <c r="D234" s="158"/>
      <c r="E234" s="163"/>
      <c r="F234" s="340"/>
      <c r="G234" s="163"/>
      <c r="H234" s="330"/>
      <c r="I234" s="165"/>
      <c r="J234" s="167"/>
      <c r="K234" s="160"/>
    </row>
    <row r="235" spans="1:11" s="57" customFormat="1" x14ac:dyDescent="0.25">
      <c r="A235" s="150"/>
      <c r="D235" s="158"/>
      <c r="E235" s="163"/>
      <c r="F235" s="340"/>
      <c r="G235" s="163"/>
      <c r="H235" s="330"/>
      <c r="I235" s="165"/>
      <c r="J235" s="167"/>
      <c r="K235" s="160"/>
    </row>
    <row r="236" spans="1:11" s="57" customFormat="1" x14ac:dyDescent="0.25">
      <c r="A236" s="150"/>
      <c r="D236" s="158"/>
      <c r="E236" s="163"/>
      <c r="F236" s="340"/>
      <c r="G236" s="163"/>
      <c r="H236" s="330"/>
      <c r="I236" s="165"/>
      <c r="J236" s="167"/>
      <c r="K236" s="158"/>
    </row>
    <row r="237" spans="1:11" s="57" customFormat="1" x14ac:dyDescent="0.25">
      <c r="A237" s="150"/>
      <c r="D237" s="158"/>
      <c r="E237" s="162"/>
      <c r="F237" s="340"/>
      <c r="G237" s="163"/>
      <c r="H237" s="330"/>
      <c r="I237" s="165"/>
      <c r="J237" s="167"/>
      <c r="K237" s="158"/>
    </row>
    <row r="238" spans="1:11" s="57" customFormat="1" x14ac:dyDescent="0.25">
      <c r="A238" s="150"/>
      <c r="D238" s="158"/>
      <c r="E238" s="162"/>
      <c r="F238" s="340"/>
      <c r="G238" s="163"/>
      <c r="H238" s="330"/>
      <c r="I238" s="165"/>
      <c r="J238" s="167"/>
      <c r="K238" s="160"/>
    </row>
    <row r="239" spans="1:11" s="57" customFormat="1" x14ac:dyDescent="0.25">
      <c r="A239" s="150"/>
      <c r="D239" s="158"/>
      <c r="E239" s="162"/>
      <c r="F239" s="340"/>
      <c r="G239" s="163"/>
      <c r="H239" s="330"/>
      <c r="I239" s="165"/>
      <c r="J239" s="167"/>
      <c r="K239" s="160"/>
    </row>
    <row r="240" spans="1:11" s="57" customFormat="1" x14ac:dyDescent="0.25">
      <c r="A240" s="150"/>
      <c r="D240" s="161"/>
      <c r="E240" s="162"/>
      <c r="F240" s="340"/>
      <c r="G240" s="163"/>
      <c r="H240" s="330"/>
      <c r="I240" s="165"/>
      <c r="J240" s="167"/>
      <c r="K240" s="158"/>
    </row>
    <row r="241" spans="1:11" s="57" customFormat="1" x14ac:dyDescent="0.25">
      <c r="A241" s="150"/>
      <c r="D241" s="161"/>
      <c r="E241" s="163"/>
      <c r="F241" s="340"/>
      <c r="G241" s="163"/>
      <c r="H241" s="330"/>
      <c r="I241" s="165"/>
      <c r="J241" s="167"/>
      <c r="K241" s="160"/>
    </row>
    <row r="242" spans="1:11" s="57" customFormat="1" x14ac:dyDescent="0.25">
      <c r="A242" s="150"/>
      <c r="D242" s="161"/>
      <c r="E242" s="163"/>
      <c r="F242" s="340"/>
      <c r="G242" s="163"/>
      <c r="H242" s="330"/>
      <c r="I242" s="165"/>
      <c r="J242" s="167"/>
      <c r="K242" s="158"/>
    </row>
    <row r="243" spans="1:11" s="57" customFormat="1" x14ac:dyDescent="0.25">
      <c r="A243" s="150"/>
      <c r="D243" s="161"/>
      <c r="E243" s="163"/>
      <c r="F243" s="340"/>
      <c r="G243" s="163"/>
      <c r="H243" s="330"/>
      <c r="I243" s="165"/>
      <c r="J243" s="167"/>
      <c r="K243" s="158"/>
    </row>
    <row r="244" spans="1:11" s="57" customFormat="1" x14ac:dyDescent="0.25">
      <c r="A244" s="150"/>
      <c r="D244" s="158"/>
      <c r="E244" s="163"/>
      <c r="F244" s="340"/>
      <c r="G244" s="163"/>
      <c r="H244" s="330"/>
      <c r="I244" s="168"/>
      <c r="J244" s="167"/>
      <c r="K244" s="158"/>
    </row>
    <row r="245" spans="1:11" s="57" customFormat="1" x14ac:dyDescent="0.25">
      <c r="A245" s="150"/>
      <c r="D245" s="158"/>
      <c r="E245" s="162"/>
      <c r="F245" s="340"/>
      <c r="G245" s="163"/>
      <c r="H245" s="330"/>
      <c r="I245" s="168"/>
      <c r="J245" s="167"/>
      <c r="K245" s="158"/>
    </row>
    <row r="246" spans="1:11" s="57" customFormat="1" x14ac:dyDescent="0.25">
      <c r="A246" s="150"/>
      <c r="D246" s="161"/>
      <c r="E246" s="162"/>
      <c r="F246" s="340"/>
      <c r="G246" s="163"/>
      <c r="H246" s="330"/>
      <c r="I246" s="165"/>
      <c r="J246" s="167"/>
      <c r="K246" s="160"/>
    </row>
    <row r="247" spans="1:11" s="57" customFormat="1" x14ac:dyDescent="0.25">
      <c r="A247" s="150"/>
      <c r="D247" s="159"/>
      <c r="E247" s="155"/>
      <c r="F247" s="339"/>
      <c r="G247" s="155"/>
      <c r="H247" s="329"/>
      <c r="I247" s="168"/>
      <c r="J247" s="157"/>
      <c r="K247" s="158"/>
    </row>
    <row r="248" spans="1:11" s="57" customFormat="1" x14ac:dyDescent="0.25">
      <c r="A248" s="150"/>
      <c r="D248" s="158"/>
      <c r="E248" s="162"/>
      <c r="F248" s="340"/>
      <c r="G248" s="163"/>
      <c r="H248" s="330"/>
      <c r="I248" s="165"/>
      <c r="J248" s="167"/>
      <c r="K248" s="158"/>
    </row>
    <row r="249" spans="1:11" s="57" customFormat="1" x14ac:dyDescent="0.25">
      <c r="A249" s="150"/>
      <c r="D249" s="158"/>
      <c r="E249" s="162"/>
      <c r="F249" s="340"/>
      <c r="G249" s="163"/>
      <c r="H249" s="330"/>
      <c r="I249" s="165"/>
      <c r="J249" s="167"/>
      <c r="K249" s="158"/>
    </row>
    <row r="250" spans="1:11" s="57" customFormat="1" x14ac:dyDescent="0.25">
      <c r="A250" s="150"/>
      <c r="D250" s="158"/>
      <c r="E250" s="162"/>
      <c r="F250" s="340"/>
      <c r="G250" s="163"/>
      <c r="H250" s="330"/>
      <c r="I250" s="165"/>
      <c r="J250" s="167"/>
      <c r="K250" s="158"/>
    </row>
    <row r="251" spans="1:11" s="57" customFormat="1" x14ac:dyDescent="0.25">
      <c r="A251" s="150"/>
      <c r="D251" s="158"/>
      <c r="E251" s="163"/>
      <c r="F251" s="340"/>
      <c r="G251" s="163"/>
      <c r="H251" s="330"/>
      <c r="I251" s="165"/>
      <c r="J251" s="167"/>
      <c r="K251" s="160"/>
    </row>
    <row r="252" spans="1:11" s="57" customFormat="1" x14ac:dyDescent="0.25">
      <c r="A252" s="150"/>
      <c r="D252" s="158"/>
      <c r="E252" s="162"/>
      <c r="F252" s="340"/>
      <c r="G252" s="163"/>
      <c r="H252" s="330"/>
      <c r="I252" s="165"/>
      <c r="J252" s="167"/>
      <c r="K252" s="158"/>
    </row>
    <row r="253" spans="1:11" s="57" customFormat="1" x14ac:dyDescent="0.25">
      <c r="A253" s="150"/>
      <c r="D253" s="158"/>
      <c r="E253" s="163"/>
      <c r="F253" s="340"/>
      <c r="G253" s="163"/>
      <c r="H253" s="330"/>
      <c r="I253" s="165"/>
      <c r="J253" s="167"/>
      <c r="K253" s="158"/>
    </row>
    <row r="254" spans="1:11" s="57" customFormat="1" x14ac:dyDescent="0.25">
      <c r="A254" s="150"/>
      <c r="D254" s="158"/>
      <c r="E254" s="163"/>
      <c r="F254" s="340"/>
      <c r="G254" s="163"/>
      <c r="H254" s="330"/>
      <c r="I254" s="165"/>
      <c r="J254" s="167"/>
      <c r="K254" s="158"/>
    </row>
    <row r="255" spans="1:11" s="57" customFormat="1" x14ac:dyDescent="0.25">
      <c r="A255" s="150"/>
      <c r="D255" s="158"/>
      <c r="E255" s="163"/>
      <c r="F255" s="340"/>
      <c r="G255" s="163"/>
      <c r="H255" s="330"/>
      <c r="I255" s="165"/>
      <c r="J255" s="167"/>
      <c r="K255" s="160"/>
    </row>
    <row r="256" spans="1:11" s="57" customFormat="1" x14ac:dyDescent="0.25">
      <c r="A256" s="150"/>
      <c r="D256" s="158"/>
      <c r="E256" s="162"/>
      <c r="F256" s="340"/>
      <c r="G256" s="163"/>
      <c r="H256" s="330"/>
      <c r="I256" s="165"/>
      <c r="J256" s="167"/>
      <c r="K256" s="158"/>
    </row>
    <row r="257" spans="1:11" s="57" customFormat="1" x14ac:dyDescent="0.25">
      <c r="A257" s="150"/>
      <c r="D257" s="158"/>
      <c r="E257" s="163"/>
      <c r="F257" s="340"/>
      <c r="G257" s="163"/>
      <c r="H257" s="330"/>
      <c r="I257" s="165"/>
      <c r="J257" s="167"/>
      <c r="K257" s="158"/>
    </row>
    <row r="258" spans="1:11" s="57" customFormat="1" x14ac:dyDescent="0.25">
      <c r="A258" s="150"/>
      <c r="D258" s="161"/>
      <c r="E258" s="162"/>
      <c r="F258" s="340"/>
      <c r="G258" s="163"/>
      <c r="H258" s="330"/>
      <c r="I258" s="165"/>
      <c r="J258" s="167"/>
      <c r="K258" s="158"/>
    </row>
    <row r="259" spans="1:11" s="57" customFormat="1" x14ac:dyDescent="0.25">
      <c r="A259" s="150"/>
      <c r="D259" s="158"/>
      <c r="E259" s="162"/>
      <c r="F259" s="340"/>
      <c r="G259" s="163"/>
      <c r="H259" s="330"/>
      <c r="I259" s="168"/>
      <c r="J259" s="167"/>
      <c r="K259" s="158"/>
    </row>
    <row r="260" spans="1:11" s="57" customFormat="1" x14ac:dyDescent="0.25">
      <c r="A260" s="150"/>
      <c r="D260" s="161"/>
      <c r="E260" s="162"/>
      <c r="F260" s="340"/>
      <c r="G260" s="163"/>
      <c r="H260" s="330"/>
      <c r="I260" s="165"/>
      <c r="J260" s="167"/>
      <c r="K260" s="158"/>
    </row>
    <row r="261" spans="1:11" s="57" customFormat="1" x14ac:dyDescent="0.25">
      <c r="A261" s="150"/>
      <c r="D261" s="161"/>
      <c r="E261" s="162"/>
      <c r="F261" s="340"/>
      <c r="G261" s="163"/>
      <c r="H261" s="330"/>
      <c r="I261" s="165"/>
      <c r="J261" s="167"/>
      <c r="K261" s="158"/>
    </row>
    <row r="262" spans="1:11" s="57" customFormat="1" x14ac:dyDescent="0.25">
      <c r="A262" s="150"/>
      <c r="D262" s="161"/>
      <c r="E262" s="162"/>
      <c r="F262" s="340"/>
      <c r="G262" s="163"/>
      <c r="H262" s="330"/>
      <c r="I262" s="165"/>
      <c r="J262" s="167"/>
      <c r="K262" s="158"/>
    </row>
    <row r="263" spans="1:11" s="57" customFormat="1" x14ac:dyDescent="0.25">
      <c r="A263" s="150"/>
      <c r="D263" s="158"/>
      <c r="E263" s="163"/>
      <c r="F263" s="340"/>
      <c r="G263" s="163"/>
      <c r="H263" s="330"/>
      <c r="I263" s="168"/>
      <c r="J263" s="167"/>
      <c r="K263" s="160"/>
    </row>
    <row r="264" spans="1:11" s="57" customFormat="1" x14ac:dyDescent="0.25">
      <c r="A264" s="150"/>
      <c r="D264" s="158"/>
      <c r="E264" s="162"/>
      <c r="F264" s="340"/>
      <c r="G264" s="163"/>
      <c r="H264" s="330"/>
      <c r="I264" s="168"/>
      <c r="J264" s="167"/>
      <c r="K264" s="160"/>
    </row>
    <row r="265" spans="1:11" s="57" customFormat="1" x14ac:dyDescent="0.25">
      <c r="A265" s="150"/>
      <c r="D265" s="158"/>
      <c r="E265" s="163"/>
      <c r="F265" s="340"/>
      <c r="G265" s="163"/>
      <c r="H265" s="330"/>
      <c r="I265" s="168"/>
      <c r="J265" s="167"/>
      <c r="K265" s="158"/>
    </row>
    <row r="266" spans="1:11" s="57" customFormat="1" x14ac:dyDescent="0.25">
      <c r="A266" s="150"/>
      <c r="D266" s="158"/>
      <c r="E266" s="163"/>
      <c r="F266" s="340"/>
      <c r="G266" s="163"/>
      <c r="H266" s="330"/>
      <c r="I266" s="168"/>
      <c r="J266" s="167"/>
      <c r="K266" s="158"/>
    </row>
    <row r="267" spans="1:11" s="57" customFormat="1" x14ac:dyDescent="0.25">
      <c r="A267" s="150"/>
      <c r="D267" s="161"/>
      <c r="E267" s="162"/>
      <c r="F267" s="340"/>
      <c r="G267" s="163"/>
      <c r="H267" s="330"/>
      <c r="I267" s="165"/>
      <c r="J267" s="166"/>
      <c r="K267" s="158"/>
    </row>
    <row r="268" spans="1:11" s="57" customFormat="1" x14ac:dyDescent="0.25">
      <c r="A268" s="150"/>
      <c r="D268" s="159"/>
      <c r="E268" s="155"/>
      <c r="F268" s="339"/>
      <c r="G268" s="155"/>
      <c r="H268" s="155"/>
      <c r="I268" s="156"/>
      <c r="J268" s="157"/>
      <c r="K268" s="158"/>
    </row>
    <row r="269" spans="1:11" s="57" customFormat="1" x14ac:dyDescent="0.25">
      <c r="A269" s="150"/>
      <c r="D269" s="161"/>
      <c r="E269" s="162"/>
      <c r="F269" s="340"/>
      <c r="G269" s="163"/>
      <c r="H269" s="330"/>
      <c r="I269" s="165"/>
      <c r="J269" s="166"/>
      <c r="K269" s="158"/>
    </row>
    <row r="270" spans="1:11" s="57" customFormat="1" x14ac:dyDescent="0.25">
      <c r="A270" s="150"/>
      <c r="D270" s="161"/>
      <c r="E270" s="162"/>
      <c r="F270" s="340"/>
      <c r="G270" s="163"/>
      <c r="H270" s="330"/>
      <c r="I270" s="165"/>
      <c r="J270" s="166"/>
      <c r="K270" s="158"/>
    </row>
    <row r="271" spans="1:11" s="57" customFormat="1" x14ac:dyDescent="0.25">
      <c r="A271" s="150"/>
      <c r="D271" s="161"/>
      <c r="E271" s="162"/>
      <c r="F271" s="340"/>
      <c r="G271" s="163"/>
      <c r="H271" s="330"/>
      <c r="I271" s="165"/>
      <c r="J271" s="166"/>
      <c r="K271" s="158"/>
    </row>
    <row r="272" spans="1:11" s="57" customFormat="1" x14ac:dyDescent="0.25">
      <c r="A272" s="150"/>
      <c r="D272" s="161"/>
      <c r="E272" s="162"/>
      <c r="F272" s="340"/>
      <c r="G272" s="163"/>
      <c r="H272" s="330"/>
      <c r="I272" s="165"/>
      <c r="J272" s="166"/>
      <c r="K272" s="158"/>
    </row>
    <row r="273" spans="1:11" s="57" customFormat="1" x14ac:dyDescent="0.25">
      <c r="A273" s="150"/>
      <c r="D273" s="161"/>
      <c r="E273" s="162"/>
      <c r="F273" s="340"/>
      <c r="G273" s="163"/>
      <c r="H273" s="330"/>
      <c r="I273" s="165"/>
      <c r="J273" s="166"/>
      <c r="K273" s="158"/>
    </row>
    <row r="274" spans="1:11" s="57" customFormat="1" x14ac:dyDescent="0.25">
      <c r="A274" s="150"/>
      <c r="D274" s="161"/>
      <c r="E274" s="162"/>
      <c r="F274" s="340"/>
      <c r="G274" s="163"/>
      <c r="H274" s="330"/>
      <c r="I274" s="165"/>
      <c r="J274" s="166"/>
      <c r="K274" s="158"/>
    </row>
    <row r="275" spans="1:11" s="57" customFormat="1" x14ac:dyDescent="0.25">
      <c r="A275" s="150"/>
      <c r="D275" s="161"/>
      <c r="E275" s="162"/>
      <c r="F275" s="340"/>
      <c r="G275" s="163"/>
      <c r="H275" s="330"/>
      <c r="I275" s="165"/>
      <c r="J275" s="166"/>
      <c r="K275" s="158"/>
    </row>
    <row r="276" spans="1:11" s="57" customFormat="1" x14ac:dyDescent="0.25">
      <c r="A276" s="150"/>
      <c r="D276" s="161"/>
      <c r="E276" s="162"/>
      <c r="F276" s="340"/>
      <c r="G276" s="163"/>
      <c r="H276" s="330"/>
      <c r="I276" s="165"/>
      <c r="J276" s="166"/>
      <c r="K276" s="158"/>
    </row>
    <row r="277" spans="1:11" s="57" customFormat="1" x14ac:dyDescent="0.25">
      <c r="A277" s="150"/>
      <c r="D277" s="161"/>
      <c r="E277" s="162"/>
      <c r="F277" s="340"/>
      <c r="G277" s="163"/>
      <c r="H277" s="330"/>
      <c r="I277" s="165"/>
      <c r="J277" s="166"/>
      <c r="K277" s="158"/>
    </row>
    <row r="278" spans="1:11" s="57" customFormat="1" x14ac:dyDescent="0.25">
      <c r="A278" s="150"/>
      <c r="D278" s="161"/>
      <c r="E278" s="162"/>
      <c r="F278" s="340"/>
      <c r="G278" s="163"/>
      <c r="H278" s="330"/>
      <c r="I278" s="165"/>
      <c r="J278" s="167"/>
      <c r="K278" s="158"/>
    </row>
    <row r="279" spans="1:11" s="57" customFormat="1" x14ac:dyDescent="0.25">
      <c r="A279" s="150"/>
      <c r="D279" s="161"/>
      <c r="E279" s="162"/>
      <c r="F279" s="340"/>
      <c r="G279" s="163"/>
      <c r="H279" s="330"/>
      <c r="I279" s="165"/>
      <c r="J279" s="167"/>
      <c r="K279" s="158"/>
    </row>
    <row r="280" spans="1:11" s="57" customFormat="1" x14ac:dyDescent="0.25">
      <c r="A280" s="150"/>
      <c r="D280" s="158"/>
      <c r="E280" s="163"/>
      <c r="F280" s="340"/>
      <c r="G280" s="163"/>
      <c r="H280" s="330"/>
      <c r="I280" s="168"/>
      <c r="J280" s="167"/>
      <c r="K280" s="158"/>
    </row>
    <row r="281" spans="1:11" s="57" customFormat="1" x14ac:dyDescent="0.25">
      <c r="A281" s="150"/>
      <c r="D281" s="158"/>
      <c r="E281" s="162"/>
      <c r="F281" s="340"/>
      <c r="G281" s="163"/>
      <c r="H281" s="330"/>
      <c r="I281" s="168"/>
      <c r="J281" s="167"/>
      <c r="K281" s="158"/>
    </row>
    <row r="282" spans="1:11" s="57" customFormat="1" x14ac:dyDescent="0.25">
      <c r="A282" s="150"/>
      <c r="D282" s="158"/>
      <c r="E282" s="162"/>
      <c r="F282" s="340"/>
      <c r="G282" s="163"/>
      <c r="H282" s="330"/>
      <c r="I282" s="168"/>
      <c r="J282" s="167"/>
      <c r="K282" s="158"/>
    </row>
    <row r="283" spans="1:11" s="57" customFormat="1" x14ac:dyDescent="0.25">
      <c r="A283" s="150"/>
      <c r="D283" s="158"/>
      <c r="E283" s="163"/>
      <c r="F283" s="340"/>
      <c r="G283" s="163"/>
      <c r="H283" s="330"/>
      <c r="I283" s="168"/>
      <c r="J283" s="167"/>
      <c r="K283" s="158"/>
    </row>
    <row r="284" spans="1:11" s="57" customFormat="1" x14ac:dyDescent="0.25">
      <c r="A284" s="150"/>
      <c r="D284" s="161"/>
      <c r="E284" s="162"/>
      <c r="F284" s="340"/>
      <c r="G284" s="163"/>
      <c r="H284" s="330"/>
      <c r="I284" s="165"/>
      <c r="J284" s="167"/>
      <c r="K284" s="158"/>
    </row>
    <row r="285" spans="1:11" s="57" customFormat="1" x14ac:dyDescent="0.25">
      <c r="A285" s="150"/>
      <c r="D285" s="161"/>
      <c r="E285" s="162"/>
      <c r="F285" s="340"/>
      <c r="G285" s="163"/>
      <c r="H285" s="330"/>
      <c r="I285" s="165"/>
      <c r="J285" s="167"/>
      <c r="K285" s="158"/>
    </row>
    <row r="286" spans="1:11" s="57" customFormat="1" x14ac:dyDescent="0.25">
      <c r="A286" s="150"/>
      <c r="D286" s="161"/>
      <c r="E286" s="162"/>
      <c r="F286" s="340"/>
      <c r="G286" s="163"/>
      <c r="H286" s="330"/>
      <c r="I286" s="165"/>
      <c r="J286" s="167"/>
      <c r="K286" s="158"/>
    </row>
    <row r="287" spans="1:11" s="57" customFormat="1" x14ac:dyDescent="0.25">
      <c r="A287" s="150"/>
      <c r="D287" s="161"/>
      <c r="E287" s="162"/>
      <c r="F287" s="340"/>
      <c r="G287" s="163"/>
      <c r="H287" s="330"/>
      <c r="I287" s="165"/>
      <c r="J287" s="167"/>
      <c r="K287" s="158"/>
    </row>
    <row r="288" spans="1:11" s="57" customFormat="1" x14ac:dyDescent="0.25">
      <c r="A288" s="150"/>
      <c r="D288" s="161"/>
      <c r="E288" s="162"/>
      <c r="F288" s="340"/>
      <c r="G288" s="163"/>
      <c r="H288" s="330"/>
      <c r="I288" s="165"/>
      <c r="J288" s="167"/>
      <c r="K288" s="158"/>
    </row>
    <row r="289" spans="1:11" s="57" customFormat="1" x14ac:dyDescent="0.25">
      <c r="A289" s="150"/>
      <c r="D289" s="161"/>
      <c r="E289" s="162"/>
      <c r="F289" s="340"/>
      <c r="G289" s="163"/>
      <c r="H289" s="330"/>
      <c r="I289" s="165"/>
      <c r="J289" s="167"/>
      <c r="K289" s="158"/>
    </row>
    <row r="290" spans="1:11" s="57" customFormat="1" x14ac:dyDescent="0.25">
      <c r="A290" s="150"/>
      <c r="D290" s="159"/>
      <c r="E290" s="155"/>
      <c r="F290" s="339"/>
      <c r="G290" s="155"/>
      <c r="H290" s="329"/>
      <c r="I290" s="156"/>
      <c r="J290" s="157"/>
      <c r="K290" s="158"/>
    </row>
    <row r="291" spans="1:11" s="57" customFormat="1" x14ac:dyDescent="0.25">
      <c r="A291" s="150"/>
      <c r="D291" s="158"/>
      <c r="E291" s="163"/>
      <c r="F291" s="340"/>
      <c r="G291" s="163"/>
      <c r="H291" s="330"/>
      <c r="I291" s="168"/>
      <c r="J291" s="167"/>
      <c r="K291" s="158"/>
    </row>
    <row r="292" spans="1:11" s="57" customFormat="1" x14ac:dyDescent="0.25">
      <c r="A292" s="150"/>
      <c r="D292" s="159"/>
      <c r="E292" s="155"/>
      <c r="F292" s="339"/>
      <c r="G292" s="155"/>
      <c r="H292" s="329"/>
      <c r="I292" s="156"/>
      <c r="J292" s="157"/>
      <c r="K292" s="158"/>
    </row>
    <row r="293" spans="1:11" s="57" customFormat="1" x14ac:dyDescent="0.25">
      <c r="A293" s="150"/>
      <c r="D293" s="158"/>
      <c r="E293" s="163"/>
      <c r="F293" s="340"/>
      <c r="G293" s="163"/>
      <c r="H293" s="330"/>
      <c r="I293" s="168"/>
      <c r="J293" s="167"/>
      <c r="K293" s="158"/>
    </row>
    <row r="294" spans="1:11" s="57" customFormat="1" x14ac:dyDescent="0.25">
      <c r="A294" s="150"/>
      <c r="E294" s="150"/>
      <c r="F294" s="335"/>
      <c r="G294" s="150"/>
      <c r="H294" s="150"/>
    </row>
    <row r="295" spans="1:11" s="57" customFormat="1" x14ac:dyDescent="0.25">
      <c r="A295" s="150"/>
      <c r="D295" s="158"/>
      <c r="E295" s="163"/>
      <c r="F295" s="340"/>
      <c r="G295" s="163"/>
      <c r="H295" s="330"/>
      <c r="I295" s="165"/>
      <c r="J295" s="167"/>
      <c r="K295" s="160"/>
    </row>
    <row r="296" spans="1:11" s="57" customFormat="1" x14ac:dyDescent="0.25">
      <c r="A296" s="150"/>
      <c r="D296" s="158"/>
      <c r="E296" s="163"/>
      <c r="F296" s="340"/>
      <c r="G296" s="163"/>
      <c r="H296" s="330"/>
      <c r="I296" s="165"/>
      <c r="J296" s="167"/>
      <c r="K296" s="160"/>
    </row>
    <row r="297" spans="1:11" s="57" customFormat="1" x14ac:dyDescent="0.25">
      <c r="A297" s="150"/>
      <c r="D297" s="158"/>
      <c r="E297" s="162"/>
      <c r="F297" s="340"/>
      <c r="G297" s="163"/>
      <c r="H297" s="330"/>
      <c r="I297" s="165"/>
      <c r="J297" s="167"/>
      <c r="K297" s="158"/>
    </row>
    <row r="298" spans="1:11" s="57" customFormat="1" x14ac:dyDescent="0.25">
      <c r="A298" s="150"/>
      <c r="D298" s="161"/>
      <c r="E298" s="162"/>
      <c r="F298" s="340"/>
      <c r="G298" s="163"/>
      <c r="H298" s="330"/>
      <c r="I298" s="165"/>
      <c r="J298" s="166"/>
      <c r="K298" s="158"/>
    </row>
    <row r="299" spans="1:11" s="57" customFormat="1" x14ac:dyDescent="0.25">
      <c r="A299" s="150"/>
      <c r="D299" s="161"/>
      <c r="E299" s="162"/>
      <c r="F299" s="340"/>
      <c r="G299" s="163"/>
      <c r="H299" s="330"/>
      <c r="I299" s="165"/>
      <c r="J299" s="167"/>
      <c r="K299" s="158"/>
    </row>
    <row r="300" spans="1:11" s="57" customFormat="1" x14ac:dyDescent="0.25">
      <c r="A300" s="150"/>
      <c r="D300" s="158"/>
      <c r="E300" s="162"/>
      <c r="F300" s="340"/>
      <c r="G300" s="163"/>
      <c r="H300" s="331"/>
      <c r="I300" s="165"/>
      <c r="J300" s="167"/>
      <c r="K300" s="158"/>
    </row>
    <row r="301" spans="1:11" s="57" customFormat="1" x14ac:dyDescent="0.25">
      <c r="A301" s="150"/>
      <c r="D301" s="158"/>
      <c r="E301" s="162"/>
      <c r="F301" s="340"/>
      <c r="G301" s="163"/>
      <c r="H301" s="331"/>
      <c r="I301" s="165"/>
      <c r="J301" s="167"/>
      <c r="K301" s="158"/>
    </row>
    <row r="302" spans="1:11" s="57" customFormat="1" x14ac:dyDescent="0.25">
      <c r="A302" s="150"/>
      <c r="D302" s="161"/>
      <c r="E302" s="162"/>
      <c r="F302" s="340"/>
      <c r="G302" s="163"/>
      <c r="H302" s="330"/>
      <c r="I302" s="165"/>
      <c r="J302" s="167"/>
      <c r="K302" s="158"/>
    </row>
    <row r="303" spans="1:11" s="57" customFormat="1" x14ac:dyDescent="0.25">
      <c r="A303" s="150"/>
      <c r="D303" s="161"/>
      <c r="E303" s="162"/>
      <c r="F303" s="340"/>
      <c r="G303" s="163"/>
      <c r="H303" s="330"/>
      <c r="I303" s="165"/>
      <c r="J303" s="167"/>
      <c r="K303" s="158"/>
    </row>
    <row r="304" spans="1:11" s="57" customFormat="1" x14ac:dyDescent="0.25">
      <c r="A304" s="150"/>
      <c r="D304" s="161"/>
      <c r="E304" s="162"/>
      <c r="F304" s="340"/>
      <c r="G304" s="163"/>
      <c r="H304" s="330"/>
      <c r="I304" s="165"/>
      <c r="J304" s="167"/>
      <c r="K304" s="158"/>
    </row>
    <row r="305" spans="1:11" s="57" customFormat="1" x14ac:dyDescent="0.25">
      <c r="A305" s="150"/>
      <c r="D305" s="158"/>
      <c r="E305" s="162"/>
      <c r="F305" s="340"/>
      <c r="G305" s="163"/>
      <c r="H305" s="331"/>
      <c r="I305" s="165"/>
      <c r="J305" s="167"/>
      <c r="K305" s="158"/>
    </row>
    <row r="306" spans="1:11" s="57" customFormat="1" x14ac:dyDescent="0.25">
      <c r="A306" s="150"/>
      <c r="D306" s="158"/>
      <c r="E306" s="162"/>
      <c r="F306" s="340"/>
      <c r="G306" s="163"/>
      <c r="H306" s="330"/>
      <c r="I306" s="165"/>
      <c r="J306" s="167"/>
      <c r="K306" s="158"/>
    </row>
    <row r="307" spans="1:11" s="57" customFormat="1" x14ac:dyDescent="0.25">
      <c r="A307" s="150"/>
      <c r="D307" s="161"/>
      <c r="E307" s="162"/>
      <c r="F307" s="340"/>
      <c r="G307" s="163"/>
      <c r="H307" s="330"/>
      <c r="I307" s="165"/>
      <c r="J307" s="167"/>
      <c r="K307" s="158"/>
    </row>
    <row r="308" spans="1:11" s="57" customFormat="1" x14ac:dyDescent="0.25">
      <c r="A308" s="150"/>
      <c r="D308" s="161"/>
      <c r="E308" s="162"/>
      <c r="F308" s="340"/>
      <c r="G308" s="163"/>
      <c r="H308" s="330"/>
      <c r="I308" s="165"/>
      <c r="J308" s="167"/>
      <c r="K308" s="158"/>
    </row>
    <row r="309" spans="1:11" s="57" customFormat="1" x14ac:dyDescent="0.25">
      <c r="A309" s="150"/>
      <c r="D309" s="159"/>
      <c r="E309" s="155"/>
      <c r="F309" s="339"/>
      <c r="G309" s="155"/>
      <c r="H309" s="329"/>
      <c r="I309" s="156"/>
      <c r="J309" s="157"/>
      <c r="K309" s="158"/>
    </row>
    <row r="310" spans="1:11" s="57" customFormat="1" x14ac:dyDescent="0.25">
      <c r="A310" s="150"/>
      <c r="D310" s="159"/>
      <c r="E310" s="155"/>
      <c r="F310" s="339"/>
      <c r="G310" s="155"/>
      <c r="H310" s="329"/>
      <c r="I310" s="156"/>
      <c r="J310" s="157"/>
      <c r="K310" s="158"/>
    </row>
    <row r="311" spans="1:11" s="57" customFormat="1" x14ac:dyDescent="0.25">
      <c r="A311" s="150"/>
      <c r="D311" s="159"/>
      <c r="E311" s="155"/>
      <c r="F311" s="339"/>
      <c r="G311" s="155"/>
      <c r="H311" s="329"/>
      <c r="I311" s="156"/>
      <c r="J311" s="157"/>
      <c r="K311" s="158"/>
    </row>
    <row r="312" spans="1:11" s="57" customFormat="1" x14ac:dyDescent="0.25">
      <c r="A312" s="150"/>
      <c r="D312" s="159"/>
      <c r="E312" s="155"/>
      <c r="F312" s="339"/>
      <c r="G312" s="155"/>
      <c r="H312" s="329"/>
      <c r="I312" s="156"/>
      <c r="J312" s="157"/>
      <c r="K312" s="158"/>
    </row>
    <row r="313" spans="1:11" s="57" customFormat="1" x14ac:dyDescent="0.25">
      <c r="A313" s="150"/>
      <c r="D313" s="159"/>
      <c r="E313" s="155"/>
      <c r="F313" s="339"/>
      <c r="G313" s="155"/>
      <c r="H313" s="329"/>
      <c r="I313" s="156"/>
      <c r="J313" s="157"/>
      <c r="K313" s="158"/>
    </row>
    <row r="314" spans="1:11" s="57" customFormat="1" x14ac:dyDescent="0.25">
      <c r="A314" s="150"/>
      <c r="D314" s="158"/>
      <c r="E314" s="162"/>
      <c r="F314" s="340"/>
      <c r="G314" s="163"/>
      <c r="H314" s="330"/>
      <c r="I314" s="165"/>
      <c r="J314" s="167"/>
      <c r="K314" s="160"/>
    </row>
    <row r="315" spans="1:11" s="57" customFormat="1" x14ac:dyDescent="0.25">
      <c r="A315" s="150"/>
      <c r="D315" s="158"/>
      <c r="E315" s="162"/>
      <c r="F315" s="340"/>
      <c r="G315" s="163"/>
      <c r="H315" s="330"/>
      <c r="I315" s="165"/>
      <c r="J315" s="167"/>
      <c r="K315" s="160"/>
    </row>
    <row r="316" spans="1:11" s="57" customFormat="1" x14ac:dyDescent="0.25">
      <c r="A316" s="150"/>
      <c r="D316" s="158"/>
      <c r="E316" s="162"/>
      <c r="F316" s="340"/>
      <c r="G316" s="163"/>
      <c r="H316" s="330"/>
      <c r="I316" s="165"/>
      <c r="J316" s="167"/>
      <c r="K316" s="158"/>
    </row>
    <row r="317" spans="1:11" s="57" customFormat="1" x14ac:dyDescent="0.25">
      <c r="A317" s="150"/>
      <c r="D317" s="161"/>
      <c r="E317" s="162"/>
      <c r="F317" s="340"/>
      <c r="G317" s="163"/>
      <c r="H317" s="330"/>
      <c r="I317" s="165"/>
      <c r="J317" s="167"/>
      <c r="K317" s="158"/>
    </row>
    <row r="318" spans="1:11" s="57" customFormat="1" x14ac:dyDescent="0.25">
      <c r="A318" s="150"/>
      <c r="D318" s="161"/>
      <c r="E318" s="162"/>
      <c r="F318" s="340"/>
      <c r="G318" s="163"/>
      <c r="H318" s="330"/>
      <c r="I318" s="165"/>
      <c r="J318" s="167"/>
      <c r="K318" s="160"/>
    </row>
    <row r="319" spans="1:11" s="57" customFormat="1" x14ac:dyDescent="0.25">
      <c r="A319" s="150"/>
      <c r="D319" s="158"/>
      <c r="E319" s="163"/>
      <c r="F319" s="340"/>
      <c r="G319" s="163"/>
      <c r="H319" s="330"/>
      <c r="I319" s="165"/>
      <c r="J319" s="167"/>
      <c r="K319" s="160"/>
    </row>
    <row r="320" spans="1:11" s="57" customFormat="1" x14ac:dyDescent="0.25">
      <c r="A320" s="150"/>
      <c r="D320" s="158"/>
      <c r="E320" s="163"/>
      <c r="F320" s="340"/>
      <c r="G320" s="163"/>
      <c r="H320" s="330"/>
      <c r="I320" s="165"/>
      <c r="J320" s="167"/>
      <c r="K320" s="158"/>
    </row>
    <row r="321" spans="1:11" s="57" customFormat="1" x14ac:dyDescent="0.25">
      <c r="A321" s="150"/>
      <c r="D321" s="161"/>
      <c r="E321" s="162"/>
      <c r="F321" s="340"/>
      <c r="G321" s="163"/>
      <c r="H321" s="330"/>
      <c r="I321" s="165"/>
      <c r="J321" s="167"/>
      <c r="K321" s="158"/>
    </row>
    <row r="322" spans="1:11" s="57" customFormat="1" x14ac:dyDescent="0.25">
      <c r="A322" s="150"/>
      <c r="D322" s="158"/>
      <c r="E322" s="163"/>
      <c r="F322" s="340"/>
      <c r="G322" s="163"/>
      <c r="H322" s="330"/>
      <c r="I322" s="165"/>
      <c r="J322" s="167"/>
      <c r="K322" s="158"/>
    </row>
    <row r="323" spans="1:11" s="57" customFormat="1" x14ac:dyDescent="0.25">
      <c r="A323" s="150"/>
      <c r="D323" s="161"/>
      <c r="E323" s="162"/>
      <c r="F323" s="340"/>
      <c r="G323" s="163"/>
      <c r="H323" s="330"/>
      <c r="I323" s="165"/>
      <c r="J323" s="167"/>
      <c r="K323" s="158"/>
    </row>
    <row r="324" spans="1:11" s="57" customFormat="1" x14ac:dyDescent="0.25">
      <c r="A324" s="150"/>
      <c r="D324" s="158"/>
      <c r="E324" s="163"/>
      <c r="F324" s="340"/>
      <c r="G324" s="163"/>
      <c r="H324" s="330"/>
      <c r="I324" s="168"/>
      <c r="J324" s="167"/>
      <c r="K324" s="158"/>
    </row>
    <row r="325" spans="1:11" s="57" customFormat="1" x14ac:dyDescent="0.25">
      <c r="A325" s="150"/>
      <c r="D325" s="158"/>
      <c r="E325" s="162"/>
      <c r="F325" s="340"/>
      <c r="G325" s="163"/>
      <c r="H325" s="330"/>
      <c r="I325" s="168"/>
      <c r="J325" s="167"/>
      <c r="K325" s="158"/>
    </row>
    <row r="326" spans="1:11" s="57" customFormat="1" x14ac:dyDescent="0.25">
      <c r="A326" s="150"/>
      <c r="D326" s="161"/>
      <c r="E326" s="162"/>
      <c r="F326" s="340"/>
      <c r="G326" s="163"/>
      <c r="H326" s="330"/>
      <c r="I326" s="165"/>
      <c r="J326" s="167"/>
      <c r="K326" s="158"/>
    </row>
    <row r="327" spans="1:11" s="57" customFormat="1" x14ac:dyDescent="0.25">
      <c r="A327" s="150"/>
      <c r="D327" s="161"/>
      <c r="E327" s="162"/>
      <c r="F327" s="340"/>
      <c r="G327" s="163"/>
      <c r="H327" s="330"/>
      <c r="I327" s="165"/>
      <c r="J327" s="167"/>
      <c r="K327" s="158"/>
    </row>
    <row r="328" spans="1:11" s="57" customFormat="1" x14ac:dyDescent="0.25">
      <c r="A328" s="150"/>
      <c r="D328" s="161"/>
      <c r="E328" s="162"/>
      <c r="F328" s="340"/>
      <c r="G328" s="163"/>
      <c r="H328" s="330"/>
      <c r="I328" s="165"/>
      <c r="J328" s="167"/>
      <c r="K328" s="158"/>
    </row>
    <row r="329" spans="1:11" s="57" customFormat="1" x14ac:dyDescent="0.25">
      <c r="A329" s="150"/>
      <c r="D329" s="161"/>
      <c r="E329" s="162"/>
      <c r="F329" s="340"/>
      <c r="G329" s="163"/>
      <c r="H329" s="330"/>
      <c r="I329" s="165"/>
      <c r="J329" s="167"/>
      <c r="K329" s="158"/>
    </row>
    <row r="330" spans="1:11" s="57" customFormat="1" x14ac:dyDescent="0.25">
      <c r="A330" s="150"/>
      <c r="D330" s="158"/>
      <c r="E330" s="163"/>
      <c r="F330" s="340"/>
      <c r="G330" s="163"/>
      <c r="H330" s="330"/>
      <c r="I330" s="165"/>
      <c r="J330" s="167"/>
      <c r="K330" s="160"/>
    </row>
    <row r="331" spans="1:11" s="57" customFormat="1" x14ac:dyDescent="0.25">
      <c r="A331" s="150"/>
      <c r="D331" s="158"/>
      <c r="E331" s="163"/>
      <c r="F331" s="340"/>
      <c r="G331" s="163"/>
      <c r="H331" s="330"/>
      <c r="I331" s="165"/>
      <c r="J331" s="167"/>
      <c r="K331" s="158"/>
    </row>
    <row r="332" spans="1:11" s="57" customFormat="1" x14ac:dyDescent="0.25">
      <c r="A332" s="150"/>
      <c r="D332" s="158"/>
      <c r="E332" s="163"/>
      <c r="F332" s="340"/>
      <c r="G332" s="163"/>
      <c r="H332" s="330"/>
      <c r="I332" s="165"/>
      <c r="J332" s="167"/>
      <c r="K332" s="158"/>
    </row>
    <row r="333" spans="1:11" s="57" customFormat="1" x14ac:dyDescent="0.25">
      <c r="A333" s="150"/>
      <c r="D333" s="158"/>
      <c r="E333" s="163"/>
      <c r="F333" s="340"/>
      <c r="G333" s="163"/>
      <c r="H333" s="330"/>
      <c r="I333" s="164"/>
      <c r="J333" s="167"/>
      <c r="K333" s="158"/>
    </row>
    <row r="334" spans="1:11" s="57" customFormat="1" x14ac:dyDescent="0.25">
      <c r="A334" s="150"/>
      <c r="D334" s="159"/>
      <c r="E334" s="155"/>
      <c r="F334" s="339"/>
      <c r="G334" s="155"/>
      <c r="H334" s="329"/>
      <c r="I334" s="156"/>
      <c r="J334" s="157"/>
      <c r="K334" s="158"/>
    </row>
    <row r="335" spans="1:11" s="57" customFormat="1" x14ac:dyDescent="0.25">
      <c r="A335" s="150"/>
      <c r="D335" s="161"/>
      <c r="E335" s="162"/>
      <c r="F335" s="340"/>
      <c r="G335" s="163"/>
      <c r="H335" s="330"/>
      <c r="I335" s="165"/>
      <c r="J335" s="166"/>
      <c r="K335" s="160"/>
    </row>
    <row r="336" spans="1:11" s="57" customFormat="1" x14ac:dyDescent="0.25">
      <c r="A336" s="150"/>
      <c r="D336" s="158"/>
      <c r="E336" s="163"/>
      <c r="F336" s="340"/>
      <c r="G336" s="163"/>
      <c r="H336" s="330"/>
      <c r="I336" s="165"/>
      <c r="J336" s="167"/>
      <c r="K336" s="160"/>
    </row>
    <row r="337" spans="1:11" s="57" customFormat="1" x14ac:dyDescent="0.25">
      <c r="A337" s="150"/>
      <c r="D337" s="158"/>
      <c r="E337" s="163"/>
      <c r="F337" s="340"/>
      <c r="G337" s="163"/>
      <c r="H337" s="330"/>
      <c r="I337" s="165"/>
      <c r="J337" s="167"/>
      <c r="K337" s="160"/>
    </row>
    <row r="338" spans="1:11" s="57" customFormat="1" x14ac:dyDescent="0.25">
      <c r="A338" s="150"/>
      <c r="D338" s="158"/>
      <c r="E338" s="163"/>
      <c r="F338" s="340"/>
      <c r="G338" s="163"/>
      <c r="H338" s="330"/>
      <c r="I338" s="165"/>
      <c r="J338" s="167"/>
      <c r="K338" s="158"/>
    </row>
    <row r="339" spans="1:11" s="57" customFormat="1" x14ac:dyDescent="0.25">
      <c r="A339" s="150"/>
      <c r="D339" s="158"/>
      <c r="E339" s="162"/>
      <c r="F339" s="340"/>
      <c r="G339" s="163"/>
      <c r="H339" s="330"/>
      <c r="I339" s="165"/>
      <c r="J339" s="167"/>
      <c r="K339" s="160"/>
    </row>
    <row r="340" spans="1:11" s="57" customFormat="1" x14ac:dyDescent="0.25">
      <c r="A340" s="150"/>
      <c r="D340" s="161"/>
      <c r="E340" s="162"/>
      <c r="F340" s="340"/>
      <c r="G340" s="163"/>
      <c r="H340" s="330"/>
      <c r="I340" s="165"/>
      <c r="J340" s="167"/>
      <c r="K340" s="158"/>
    </row>
    <row r="341" spans="1:11" s="57" customFormat="1" x14ac:dyDescent="0.25">
      <c r="A341" s="150"/>
      <c r="D341" s="158"/>
      <c r="E341" s="163"/>
      <c r="F341" s="340"/>
      <c r="G341" s="163"/>
      <c r="H341" s="330"/>
      <c r="I341" s="165"/>
      <c r="J341" s="167"/>
      <c r="K341" s="158"/>
    </row>
    <row r="342" spans="1:11" s="57" customFormat="1" x14ac:dyDescent="0.25">
      <c r="A342" s="150"/>
      <c r="D342" s="158"/>
      <c r="E342" s="163"/>
      <c r="F342" s="340"/>
      <c r="G342" s="163"/>
      <c r="H342" s="330"/>
      <c r="I342" s="165"/>
      <c r="J342" s="167"/>
      <c r="K342" s="158"/>
    </row>
    <row r="343" spans="1:11" s="57" customFormat="1" x14ac:dyDescent="0.25">
      <c r="A343" s="150"/>
      <c r="D343" s="159"/>
      <c r="E343" s="155"/>
      <c r="F343" s="340"/>
      <c r="G343" s="155"/>
      <c r="H343" s="155"/>
      <c r="I343" s="156"/>
      <c r="J343" s="157"/>
      <c r="K343" s="158"/>
    </row>
    <row r="344" spans="1:11" s="57" customFormat="1" x14ac:dyDescent="0.25">
      <c r="A344" s="150"/>
      <c r="D344" s="158"/>
      <c r="E344" s="163"/>
      <c r="F344" s="340"/>
      <c r="G344" s="163"/>
      <c r="H344" s="330"/>
      <c r="I344" s="165"/>
      <c r="J344" s="167"/>
      <c r="K344" s="158"/>
    </row>
    <row r="345" spans="1:11" s="57" customFormat="1" x14ac:dyDescent="0.25">
      <c r="A345" s="150"/>
      <c r="D345" s="158"/>
      <c r="E345" s="163"/>
      <c r="F345" s="340"/>
      <c r="G345" s="163"/>
      <c r="H345" s="330"/>
      <c r="I345" s="165"/>
      <c r="J345" s="167"/>
      <c r="K345" s="158"/>
    </row>
    <row r="346" spans="1:11" s="57" customFormat="1" x14ac:dyDescent="0.25">
      <c r="A346" s="150"/>
      <c r="D346" s="161"/>
      <c r="E346" s="162"/>
      <c r="F346" s="340"/>
      <c r="G346" s="163"/>
      <c r="H346" s="330"/>
      <c r="I346" s="165"/>
      <c r="J346" s="167"/>
      <c r="K346" s="158"/>
    </row>
    <row r="347" spans="1:11" s="57" customFormat="1" x14ac:dyDescent="0.25">
      <c r="A347" s="150"/>
      <c r="D347" s="158"/>
      <c r="E347" s="163"/>
      <c r="F347" s="340"/>
      <c r="G347" s="163"/>
      <c r="H347" s="330"/>
      <c r="I347" s="168"/>
      <c r="J347" s="167"/>
      <c r="K347" s="158"/>
    </row>
    <row r="348" spans="1:11" s="57" customFormat="1" x14ac:dyDescent="0.25">
      <c r="A348" s="150"/>
      <c r="D348" s="158"/>
      <c r="E348" s="162"/>
      <c r="F348" s="340"/>
      <c r="G348" s="163"/>
      <c r="H348" s="330"/>
      <c r="I348" s="168"/>
      <c r="J348" s="167"/>
      <c r="K348" s="158"/>
    </row>
    <row r="349" spans="1:11" s="57" customFormat="1" x14ac:dyDescent="0.25">
      <c r="A349" s="150"/>
      <c r="D349" s="158"/>
      <c r="E349" s="163"/>
      <c r="F349" s="340"/>
      <c r="G349" s="163"/>
      <c r="H349" s="330"/>
      <c r="I349" s="168"/>
      <c r="J349" s="167"/>
      <c r="K349" s="158"/>
    </row>
    <row r="350" spans="1:11" s="57" customFormat="1" x14ac:dyDescent="0.25">
      <c r="A350" s="150"/>
      <c r="D350" s="161"/>
      <c r="E350" s="162"/>
      <c r="F350" s="340"/>
      <c r="G350" s="163"/>
      <c r="H350" s="330"/>
      <c r="I350" s="165"/>
      <c r="J350" s="167"/>
      <c r="K350" s="158"/>
    </row>
    <row r="351" spans="1:11" s="57" customFormat="1" x14ac:dyDescent="0.25">
      <c r="A351" s="150"/>
      <c r="D351" s="161"/>
      <c r="E351" s="162"/>
      <c r="F351" s="340"/>
      <c r="G351" s="163"/>
      <c r="H351" s="330"/>
      <c r="I351" s="165"/>
      <c r="J351" s="167"/>
      <c r="K351" s="158"/>
    </row>
    <row r="352" spans="1:11" s="57" customFormat="1" x14ac:dyDescent="0.25">
      <c r="A352" s="150"/>
      <c r="D352" s="161"/>
      <c r="E352" s="162"/>
      <c r="F352" s="340"/>
      <c r="G352" s="163"/>
      <c r="H352" s="330"/>
      <c r="I352" s="165"/>
      <c r="J352" s="167"/>
      <c r="K352" s="158"/>
    </row>
    <row r="353" spans="1:11" s="57" customFormat="1" x14ac:dyDescent="0.25">
      <c r="A353" s="150"/>
      <c r="D353" s="161"/>
      <c r="E353" s="162"/>
      <c r="F353" s="340"/>
      <c r="G353" s="163"/>
      <c r="H353" s="330"/>
      <c r="I353" s="168"/>
      <c r="J353" s="167"/>
      <c r="K353" s="158"/>
    </row>
    <row r="354" spans="1:11" s="57" customFormat="1" x14ac:dyDescent="0.25">
      <c r="A354" s="150"/>
      <c r="D354" s="161"/>
      <c r="E354" s="162"/>
      <c r="F354" s="340"/>
      <c r="G354" s="163"/>
      <c r="H354" s="330"/>
      <c r="I354" s="168"/>
      <c r="J354" s="167"/>
      <c r="K354" s="158"/>
    </row>
    <row r="355" spans="1:11" s="57" customFormat="1" x14ac:dyDescent="0.25">
      <c r="A355" s="150"/>
      <c r="D355" s="161"/>
      <c r="E355" s="162"/>
      <c r="F355" s="340"/>
      <c r="G355" s="163"/>
      <c r="H355" s="330"/>
      <c r="I355" s="168"/>
      <c r="J355" s="167"/>
      <c r="K355" s="158"/>
    </row>
    <row r="356" spans="1:11" s="57" customFormat="1" x14ac:dyDescent="0.25">
      <c r="A356" s="150"/>
      <c r="D356" s="161"/>
      <c r="E356" s="162"/>
      <c r="F356" s="340"/>
      <c r="G356" s="163"/>
      <c r="H356" s="330"/>
      <c r="I356" s="168"/>
      <c r="J356" s="167"/>
      <c r="K356" s="158"/>
    </row>
    <row r="357" spans="1:11" s="57" customFormat="1" x14ac:dyDescent="0.25">
      <c r="A357" s="150"/>
      <c r="D357" s="161"/>
      <c r="E357" s="162"/>
      <c r="F357" s="340"/>
      <c r="G357" s="163"/>
      <c r="H357" s="330"/>
      <c r="I357" s="168"/>
      <c r="J357" s="167"/>
      <c r="K357" s="158"/>
    </row>
    <row r="358" spans="1:11" s="57" customFormat="1" x14ac:dyDescent="0.25">
      <c r="A358" s="150"/>
      <c r="D358" s="161"/>
      <c r="E358" s="163"/>
      <c r="F358" s="340"/>
      <c r="G358" s="163"/>
      <c r="H358" s="330"/>
      <c r="I358" s="165"/>
      <c r="J358" s="167"/>
      <c r="K358" s="160"/>
    </row>
    <row r="359" spans="1:11" s="57" customFormat="1" x14ac:dyDescent="0.25">
      <c r="A359" s="150"/>
      <c r="D359" s="158"/>
      <c r="E359" s="163"/>
      <c r="F359" s="340"/>
      <c r="G359" s="163"/>
      <c r="H359" s="330"/>
      <c r="I359" s="165"/>
      <c r="J359" s="167"/>
      <c r="K359" s="158"/>
    </row>
    <row r="360" spans="1:11" s="57" customFormat="1" x14ac:dyDescent="0.25">
      <c r="A360" s="150"/>
      <c r="D360" s="158"/>
      <c r="E360" s="163"/>
      <c r="F360" s="340"/>
      <c r="G360" s="163"/>
      <c r="H360" s="330"/>
      <c r="I360" s="165"/>
      <c r="J360" s="167"/>
      <c r="K360" s="158"/>
    </row>
    <row r="361" spans="1:11" s="57" customFormat="1" x14ac:dyDescent="0.25">
      <c r="A361" s="150"/>
      <c r="D361" s="158"/>
      <c r="E361" s="162"/>
      <c r="F361" s="340"/>
      <c r="G361" s="163"/>
      <c r="H361" s="330"/>
      <c r="I361" s="165"/>
      <c r="J361" s="167"/>
      <c r="K361" s="158"/>
    </row>
    <row r="362" spans="1:11" s="57" customFormat="1" x14ac:dyDescent="0.25">
      <c r="A362" s="150"/>
      <c r="D362" s="158"/>
      <c r="E362" s="162"/>
      <c r="F362" s="340"/>
      <c r="G362" s="163"/>
      <c r="H362" s="330"/>
      <c r="I362" s="165"/>
      <c r="J362" s="167"/>
      <c r="K362" s="158"/>
    </row>
    <row r="363" spans="1:11" s="57" customFormat="1" x14ac:dyDescent="0.25">
      <c r="A363" s="150"/>
      <c r="D363" s="161"/>
      <c r="E363" s="162"/>
      <c r="F363" s="340"/>
      <c r="G363" s="163"/>
      <c r="H363" s="330"/>
      <c r="I363" s="165"/>
      <c r="J363" s="167"/>
      <c r="K363" s="158"/>
    </row>
    <row r="364" spans="1:11" s="57" customFormat="1" x14ac:dyDescent="0.25">
      <c r="A364" s="150"/>
      <c r="D364" s="161"/>
      <c r="E364" s="162"/>
      <c r="F364" s="340"/>
      <c r="G364" s="163"/>
      <c r="H364" s="330"/>
      <c r="I364" s="165"/>
      <c r="J364" s="167"/>
      <c r="K364" s="158"/>
    </row>
    <row r="365" spans="1:11" s="57" customFormat="1" x14ac:dyDescent="0.25">
      <c r="A365" s="150"/>
      <c r="D365" s="161"/>
      <c r="E365" s="162"/>
      <c r="F365" s="340"/>
      <c r="G365" s="163"/>
      <c r="H365" s="330"/>
      <c r="I365" s="165"/>
      <c r="J365" s="167"/>
      <c r="K365" s="158"/>
    </row>
    <row r="366" spans="1:11" s="57" customFormat="1" x14ac:dyDescent="0.25">
      <c r="A366" s="150"/>
      <c r="D366" s="161"/>
      <c r="E366" s="162"/>
      <c r="F366" s="340"/>
      <c r="G366" s="163"/>
      <c r="H366" s="330"/>
      <c r="I366" s="165"/>
      <c r="J366" s="166"/>
      <c r="K366" s="158"/>
    </row>
    <row r="367" spans="1:11" s="57" customFormat="1" x14ac:dyDescent="0.25">
      <c r="A367" s="150"/>
      <c r="D367" s="159"/>
      <c r="E367" s="155"/>
      <c r="F367" s="339"/>
      <c r="G367" s="155"/>
      <c r="H367" s="329"/>
      <c r="I367" s="156"/>
      <c r="J367" s="157"/>
      <c r="K367" s="158"/>
    </row>
    <row r="368" spans="1:11" s="57" customFormat="1" x14ac:dyDescent="0.25">
      <c r="A368" s="150"/>
      <c r="D368" s="158"/>
      <c r="E368" s="162"/>
      <c r="F368" s="340"/>
      <c r="G368" s="163"/>
      <c r="H368" s="330"/>
      <c r="I368" s="168"/>
      <c r="J368" s="167"/>
      <c r="K368" s="158"/>
    </row>
    <row r="369" spans="1:11" s="57" customFormat="1" x14ac:dyDescent="0.25">
      <c r="A369" s="150"/>
      <c r="D369" s="161"/>
      <c r="E369" s="162"/>
      <c r="F369" s="340"/>
      <c r="G369" s="163"/>
      <c r="H369" s="330"/>
      <c r="I369" s="165"/>
      <c r="J369" s="166"/>
      <c r="K369" s="158"/>
    </row>
    <row r="370" spans="1:11" s="57" customFormat="1" x14ac:dyDescent="0.25">
      <c r="A370" s="150"/>
      <c r="D370" s="172"/>
      <c r="E370" s="173"/>
      <c r="F370" s="341"/>
      <c r="G370" s="173"/>
      <c r="H370" s="332"/>
      <c r="I370" s="174"/>
      <c r="J370" s="175"/>
      <c r="K370" s="158"/>
    </row>
    <row r="371" spans="1:11" s="57" customFormat="1" x14ac:dyDescent="0.25">
      <c r="A371" s="150"/>
      <c r="D371" s="171"/>
      <c r="E371" s="333"/>
      <c r="F371" s="342"/>
      <c r="G371" s="176"/>
      <c r="H371" s="333"/>
      <c r="I371" s="171"/>
      <c r="J371" s="171"/>
      <c r="K371" s="171"/>
    </row>
    <row r="372" spans="1:11" s="57" customFormat="1" x14ac:dyDescent="0.25">
      <c r="A372" s="150"/>
      <c r="D372" s="171"/>
      <c r="E372" s="333"/>
      <c r="F372" s="343"/>
      <c r="G372" s="176"/>
      <c r="H372" s="333"/>
      <c r="I372" s="171"/>
      <c r="J372" s="171"/>
      <c r="K372" s="171"/>
    </row>
    <row r="373" spans="1:11" s="57" customFormat="1" x14ac:dyDescent="0.25">
      <c r="A373" s="150"/>
      <c r="D373" s="171"/>
      <c r="E373" s="333"/>
      <c r="F373" s="343"/>
      <c r="G373" s="176"/>
      <c r="H373" s="333"/>
      <c r="I373" s="171"/>
      <c r="J373" s="171"/>
      <c r="K373" s="171"/>
    </row>
    <row r="374" spans="1:11" s="57" customFormat="1" x14ac:dyDescent="0.25">
      <c r="A374" s="150"/>
      <c r="D374" s="171"/>
      <c r="E374" s="333"/>
      <c r="F374" s="343"/>
      <c r="G374" s="176"/>
      <c r="H374" s="333"/>
      <c r="I374" s="171"/>
      <c r="J374" s="171"/>
      <c r="K374" s="171"/>
    </row>
    <row r="375" spans="1:11" s="57" customFormat="1" x14ac:dyDescent="0.25">
      <c r="A375" s="150"/>
      <c r="D375" s="171"/>
      <c r="E375" s="333"/>
      <c r="F375" s="343"/>
      <c r="G375" s="176"/>
      <c r="H375" s="333"/>
      <c r="I375" s="171"/>
      <c r="J375" s="171"/>
      <c r="K375" s="171"/>
    </row>
    <row r="376" spans="1:11" s="57" customFormat="1" x14ac:dyDescent="0.25">
      <c r="A376" s="150"/>
      <c r="E376" s="150"/>
      <c r="F376" s="335"/>
      <c r="G376" s="150"/>
      <c r="H376" s="150"/>
    </row>
    <row r="377" spans="1:11" s="57" customFormat="1" x14ac:dyDescent="0.25">
      <c r="A377" s="150"/>
      <c r="E377" s="150"/>
      <c r="F377" s="335"/>
      <c r="G377" s="150"/>
      <c r="H377" s="150"/>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workbookViewId="0"/>
  </sheetViews>
  <sheetFormatPr defaultRowHeight="15" x14ac:dyDescent="0.25"/>
  <cols>
    <col min="1" max="1" width="9.140625" style="104"/>
    <col min="2" max="2" width="12" style="104" customWidth="1"/>
    <col min="3" max="3" width="20.85546875" style="104" customWidth="1"/>
    <col min="4" max="4" width="38.5703125" style="104" customWidth="1"/>
    <col min="5" max="6" width="14.85546875" style="105" customWidth="1"/>
    <col min="7" max="7" width="11.42578125" style="105" customWidth="1"/>
    <col min="8" max="8" width="13.85546875" style="38" customWidth="1"/>
    <col min="9" max="9" width="24.42578125" style="107" customWidth="1"/>
    <col min="10" max="10" width="42.42578125" style="107" customWidth="1"/>
    <col min="11" max="16384" width="9.140625" style="104"/>
  </cols>
  <sheetData>
    <row r="1" spans="1:11" s="1" customFormat="1" ht="90" x14ac:dyDescent="0.25">
      <c r="A1" s="1" t="s">
        <v>0</v>
      </c>
      <c r="B1" s="1" t="s">
        <v>263</v>
      </c>
      <c r="C1" s="1" t="s">
        <v>264</v>
      </c>
      <c r="D1" s="1" t="s">
        <v>1</v>
      </c>
      <c r="E1" s="1" t="s">
        <v>5</v>
      </c>
      <c r="F1" s="1" t="s">
        <v>3</v>
      </c>
      <c r="G1" s="1" t="s">
        <v>2</v>
      </c>
      <c r="H1" s="48" t="s">
        <v>267</v>
      </c>
      <c r="I1" s="1" t="s">
        <v>4</v>
      </c>
      <c r="J1" s="1" t="s">
        <v>7</v>
      </c>
    </row>
    <row r="2" spans="1:11" ht="45" x14ac:dyDescent="0.25">
      <c r="A2" s="104" t="s">
        <v>418</v>
      </c>
      <c r="B2" s="104" t="s">
        <v>934</v>
      </c>
      <c r="C2" s="107" t="s">
        <v>937</v>
      </c>
      <c r="D2" s="104" t="s">
        <v>956</v>
      </c>
      <c r="E2" s="178">
        <v>5000</v>
      </c>
      <c r="F2" s="258" t="s">
        <v>853</v>
      </c>
      <c r="G2" s="105">
        <v>1962</v>
      </c>
      <c r="H2" s="38">
        <v>1998</v>
      </c>
      <c r="I2" s="107" t="s">
        <v>942</v>
      </c>
      <c r="J2" s="107" t="s">
        <v>419</v>
      </c>
    </row>
    <row r="3" spans="1:11" ht="60" x14ac:dyDescent="0.25">
      <c r="A3" s="104" t="s">
        <v>418</v>
      </c>
      <c r="B3" s="104" t="s">
        <v>934</v>
      </c>
      <c r="C3" s="107" t="s">
        <v>935</v>
      </c>
      <c r="D3" s="107" t="s">
        <v>938</v>
      </c>
      <c r="E3" s="262">
        <v>13500</v>
      </c>
      <c r="F3" s="72">
        <f t="shared" ref="F3:F12" si="0">E3/5280</f>
        <v>2.5568181818181817</v>
      </c>
      <c r="G3" s="105" t="s">
        <v>950</v>
      </c>
      <c r="H3" s="38" t="s">
        <v>947</v>
      </c>
      <c r="I3" s="107" t="s">
        <v>948</v>
      </c>
      <c r="J3" s="107" t="s">
        <v>949</v>
      </c>
    </row>
    <row r="4" spans="1:11" ht="90" x14ac:dyDescent="0.25">
      <c r="A4" s="104" t="s">
        <v>418</v>
      </c>
      <c r="B4" s="104" t="s">
        <v>934</v>
      </c>
      <c r="C4" s="104" t="s">
        <v>421</v>
      </c>
      <c r="D4" s="104" t="s">
        <v>955</v>
      </c>
      <c r="E4" s="178">
        <v>7385</v>
      </c>
      <c r="F4" s="258" t="s">
        <v>853</v>
      </c>
      <c r="G4" s="105">
        <v>1957</v>
      </c>
      <c r="H4" s="38" t="s">
        <v>422</v>
      </c>
      <c r="I4" s="107" t="s">
        <v>942</v>
      </c>
      <c r="J4" s="107" t="s">
        <v>423</v>
      </c>
    </row>
    <row r="5" spans="1:11" ht="165" x14ac:dyDescent="0.25">
      <c r="A5" s="104" t="s">
        <v>418</v>
      </c>
      <c r="B5" s="104" t="s">
        <v>934</v>
      </c>
      <c r="C5" s="104" t="s">
        <v>936</v>
      </c>
      <c r="D5" s="11" t="s">
        <v>941</v>
      </c>
      <c r="E5" s="262">
        <v>8400</v>
      </c>
      <c r="F5" s="261">
        <f>(8400-3500)/5280</f>
        <v>0.92803030303030298</v>
      </c>
      <c r="G5" s="105">
        <v>1961</v>
      </c>
      <c r="H5" s="38" t="s">
        <v>944</v>
      </c>
      <c r="I5" s="107" t="s">
        <v>293</v>
      </c>
      <c r="J5" s="107" t="s">
        <v>946</v>
      </c>
    </row>
    <row r="6" spans="1:11" ht="75" x14ac:dyDescent="0.25">
      <c r="A6" s="104" t="s">
        <v>418</v>
      </c>
      <c r="B6" s="104" t="s">
        <v>934</v>
      </c>
      <c r="C6" s="104" t="s">
        <v>936</v>
      </c>
      <c r="D6" s="104" t="s">
        <v>943</v>
      </c>
      <c r="E6" s="262">
        <v>3500</v>
      </c>
      <c r="F6" s="261">
        <f t="shared" si="0"/>
        <v>0.66287878787878785</v>
      </c>
      <c r="G6" s="105">
        <v>1990</v>
      </c>
      <c r="H6" s="38" t="s">
        <v>424</v>
      </c>
      <c r="I6" s="107" t="s">
        <v>420</v>
      </c>
      <c r="J6" s="107" t="s">
        <v>945</v>
      </c>
    </row>
    <row r="7" spans="1:11" ht="105" x14ac:dyDescent="0.25">
      <c r="A7" s="104" t="s">
        <v>418</v>
      </c>
      <c r="B7" s="104" t="s">
        <v>934</v>
      </c>
      <c r="C7" s="104" t="s">
        <v>425</v>
      </c>
      <c r="D7" s="104" t="s">
        <v>954</v>
      </c>
      <c r="E7" s="262">
        <v>9504</v>
      </c>
      <c r="F7" s="258">
        <f>(9504-7700)/5280</f>
        <v>0.34166666666666667</v>
      </c>
      <c r="G7" s="105">
        <v>1961</v>
      </c>
      <c r="H7" s="38" t="s">
        <v>426</v>
      </c>
      <c r="I7" s="107" t="s">
        <v>942</v>
      </c>
      <c r="J7" s="107" t="s">
        <v>964</v>
      </c>
    </row>
    <row r="8" spans="1:11" ht="60" x14ac:dyDescent="0.25">
      <c r="A8" s="104" t="s">
        <v>418</v>
      </c>
      <c r="B8" s="104" t="s">
        <v>934</v>
      </c>
      <c r="C8" s="107" t="s">
        <v>427</v>
      </c>
      <c r="D8" s="107" t="s">
        <v>939</v>
      </c>
      <c r="E8" s="262">
        <v>14950</v>
      </c>
      <c r="F8" s="261">
        <f t="shared" si="0"/>
        <v>2.831439393939394</v>
      </c>
      <c r="G8" s="105">
        <v>2008</v>
      </c>
      <c r="H8" s="38" t="s">
        <v>951</v>
      </c>
      <c r="I8" s="107" t="s">
        <v>948</v>
      </c>
      <c r="J8" s="107" t="s">
        <v>952</v>
      </c>
    </row>
    <row r="9" spans="1:11" ht="30" x14ac:dyDescent="0.25">
      <c r="A9" s="104" t="s">
        <v>418</v>
      </c>
      <c r="B9" s="104" t="s">
        <v>934</v>
      </c>
      <c r="C9" s="104" t="s">
        <v>425</v>
      </c>
      <c r="D9" s="104" t="s">
        <v>428</v>
      </c>
      <c r="E9" s="262">
        <v>2380</v>
      </c>
      <c r="F9" s="261">
        <f t="shared" si="0"/>
        <v>0.45075757575757575</v>
      </c>
      <c r="G9" s="105">
        <v>1989</v>
      </c>
      <c r="H9" s="105">
        <v>1998</v>
      </c>
      <c r="I9" s="107" t="s">
        <v>942</v>
      </c>
      <c r="J9" s="107" t="s">
        <v>429</v>
      </c>
    </row>
    <row r="10" spans="1:11" ht="150" x14ac:dyDescent="0.25">
      <c r="A10" s="104" t="s">
        <v>418</v>
      </c>
      <c r="B10" s="104" t="s">
        <v>934</v>
      </c>
      <c r="C10" s="107" t="s">
        <v>430</v>
      </c>
      <c r="D10" s="104" t="s">
        <v>953</v>
      </c>
      <c r="E10" s="262">
        <v>24816</v>
      </c>
      <c r="F10" s="133" t="s">
        <v>963</v>
      </c>
      <c r="G10" s="105">
        <v>1962</v>
      </c>
      <c r="H10" s="38" t="s">
        <v>431</v>
      </c>
      <c r="I10" s="107" t="s">
        <v>942</v>
      </c>
      <c r="J10" s="107" t="s">
        <v>962</v>
      </c>
    </row>
    <row r="11" spans="1:11" ht="150" x14ac:dyDescent="0.25">
      <c r="A11" s="104" t="s">
        <v>418</v>
      </c>
      <c r="B11" s="104" t="s">
        <v>934</v>
      </c>
      <c r="C11" s="104" t="s">
        <v>432</v>
      </c>
      <c r="D11" s="104" t="s">
        <v>957</v>
      </c>
      <c r="E11" s="262">
        <v>15200</v>
      </c>
      <c r="F11" s="261" t="s">
        <v>958</v>
      </c>
      <c r="G11" s="105">
        <v>1962</v>
      </c>
      <c r="H11" s="38" t="s">
        <v>433</v>
      </c>
      <c r="I11" s="107" t="s">
        <v>942</v>
      </c>
      <c r="J11" s="107" t="s">
        <v>961</v>
      </c>
      <c r="K11" s="3"/>
    </row>
    <row r="12" spans="1:11" ht="75" x14ac:dyDescent="0.25">
      <c r="A12" s="104" t="s">
        <v>418</v>
      </c>
      <c r="B12" s="104" t="s">
        <v>934</v>
      </c>
      <c r="C12" s="104" t="s">
        <v>432</v>
      </c>
      <c r="D12" s="107" t="s">
        <v>940</v>
      </c>
      <c r="E12" s="262">
        <v>6500</v>
      </c>
      <c r="F12" s="261">
        <f t="shared" si="0"/>
        <v>1.231060606060606</v>
      </c>
      <c r="G12" s="105">
        <v>2005</v>
      </c>
      <c r="H12" s="38" t="s">
        <v>959</v>
      </c>
      <c r="I12" s="107" t="s">
        <v>434</v>
      </c>
      <c r="J12" s="107" t="s">
        <v>960</v>
      </c>
    </row>
    <row r="14" spans="1:11" x14ac:dyDescent="0.25">
      <c r="D14" s="5" t="s">
        <v>6</v>
      </c>
      <c r="E14" s="262"/>
      <c r="F14" s="263">
        <f>SUM(F2:F12)+1.42+1.65</f>
        <v>12.072651515151515</v>
      </c>
      <c r="G14" s="13"/>
    </row>
    <row r="15" spans="1:11" x14ac:dyDescent="0.25">
      <c r="D15" s="11"/>
      <c r="E15" s="262"/>
    </row>
    <row r="16" spans="1:11" x14ac:dyDescent="0.25">
      <c r="D16" s="11"/>
      <c r="E16" s="262"/>
    </row>
    <row r="17" spans="1:10" x14ac:dyDescent="0.25">
      <c r="D17" s="11"/>
      <c r="E17" s="262"/>
    </row>
    <row r="18" spans="1:10" s="11" customFormat="1" x14ac:dyDescent="0.25">
      <c r="A18" s="123" t="s">
        <v>247</v>
      </c>
      <c r="B18" s="124" t="s">
        <v>284</v>
      </c>
      <c r="C18" s="183"/>
      <c r="D18" s="124"/>
      <c r="E18" s="101"/>
      <c r="F18" s="264"/>
      <c r="G18" s="10"/>
      <c r="H18" s="150"/>
      <c r="I18" s="57"/>
      <c r="J18" s="57"/>
    </row>
    <row r="19" spans="1:10" s="11" customFormat="1" x14ac:dyDescent="0.25">
      <c r="A19" s="70"/>
      <c r="B19" s="124" t="s">
        <v>248</v>
      </c>
      <c r="C19" s="187"/>
      <c r="D19" s="99"/>
      <c r="E19" s="10"/>
      <c r="F19" s="10"/>
      <c r="G19" s="10"/>
      <c r="H19" s="150"/>
      <c r="I19" s="57"/>
      <c r="J19" s="57"/>
    </row>
    <row r="20" spans="1:10" s="11" customFormat="1" x14ac:dyDescent="0.25">
      <c r="A20" s="107"/>
      <c r="B20" s="124" t="s">
        <v>1411</v>
      </c>
      <c r="C20" s="187"/>
      <c r="D20" s="124"/>
      <c r="E20" s="10"/>
      <c r="F20" s="10"/>
      <c r="G20" s="10"/>
      <c r="H20" s="150"/>
      <c r="I20" s="57"/>
      <c r="J20" s="57"/>
    </row>
    <row r="21" spans="1:10" s="11" customFormat="1" x14ac:dyDescent="0.25">
      <c r="B21" s="125" t="s">
        <v>485</v>
      </c>
      <c r="C21" s="187"/>
      <c r="D21" s="125"/>
      <c r="E21" s="199"/>
      <c r="F21" s="199"/>
      <c r="G21" s="199"/>
      <c r="H21" s="266"/>
      <c r="I21" s="200"/>
      <c r="J21" s="201"/>
    </row>
    <row r="22" spans="1:10" s="11" customFormat="1" x14ac:dyDescent="0.25">
      <c r="B22" s="192"/>
      <c r="C22" s="234" t="s">
        <v>483</v>
      </c>
      <c r="D22" s="202"/>
      <c r="E22" s="203"/>
      <c r="F22" s="203"/>
      <c r="G22" s="203"/>
      <c r="H22" s="267"/>
      <c r="I22" s="205"/>
      <c r="J22" s="206"/>
    </row>
    <row r="23" spans="1:10" s="11" customFormat="1" x14ac:dyDescent="0.25">
      <c r="D23" s="207"/>
      <c r="E23" s="203"/>
      <c r="F23" s="203"/>
      <c r="G23" s="203"/>
      <c r="H23" s="267"/>
      <c r="I23" s="205"/>
      <c r="J23" s="206"/>
    </row>
    <row r="24" spans="1:10" s="11" customFormat="1" x14ac:dyDescent="0.25">
      <c r="D24" s="202"/>
      <c r="E24" s="203"/>
      <c r="F24" s="203"/>
      <c r="G24" s="203"/>
      <c r="H24" s="267"/>
      <c r="I24" s="205"/>
      <c r="J24" s="206"/>
    </row>
    <row r="25" spans="1:10" s="11" customFormat="1" x14ac:dyDescent="0.25">
      <c r="D25" s="202"/>
      <c r="E25" s="203"/>
      <c r="F25" s="203"/>
      <c r="G25" s="203"/>
      <c r="H25" s="267"/>
      <c r="I25" s="205"/>
      <c r="J25" s="206"/>
    </row>
    <row r="26" spans="1:10" s="11" customFormat="1" x14ac:dyDescent="0.25">
      <c r="D26" s="202"/>
      <c r="E26" s="203"/>
      <c r="F26" s="203"/>
      <c r="G26" s="203"/>
      <c r="H26" s="267"/>
      <c r="I26" s="205"/>
      <c r="J26" s="206"/>
    </row>
    <row r="27" spans="1:10" s="11" customFormat="1" x14ac:dyDescent="0.25">
      <c r="D27" s="202"/>
      <c r="E27" s="203"/>
      <c r="F27" s="203"/>
      <c r="G27" s="203"/>
      <c r="H27" s="267"/>
      <c r="I27" s="205"/>
      <c r="J27" s="206"/>
    </row>
    <row r="28" spans="1:10" s="11" customFormat="1" x14ac:dyDescent="0.25">
      <c r="D28" s="202"/>
      <c r="E28" s="203"/>
      <c r="F28" s="203"/>
      <c r="G28" s="203"/>
      <c r="H28" s="267"/>
      <c r="I28" s="205"/>
      <c r="J28" s="206"/>
    </row>
    <row r="29" spans="1:10" s="11" customFormat="1" x14ac:dyDescent="0.25">
      <c r="D29" s="202"/>
      <c r="E29" s="203"/>
      <c r="F29" s="203"/>
      <c r="G29" s="203"/>
      <c r="H29" s="267"/>
      <c r="I29" s="205"/>
      <c r="J29" s="206"/>
    </row>
    <row r="30" spans="1:10" s="11" customFormat="1" x14ac:dyDescent="0.25">
      <c r="D30" s="207"/>
      <c r="E30" s="203"/>
      <c r="F30" s="203"/>
      <c r="G30" s="203"/>
      <c r="H30" s="267"/>
      <c r="I30" s="205"/>
      <c r="J30" s="206"/>
    </row>
    <row r="31" spans="1:10" s="11" customFormat="1" x14ac:dyDescent="0.25">
      <c r="D31" s="207"/>
      <c r="E31" s="203"/>
      <c r="F31" s="203"/>
      <c r="G31" s="203"/>
      <c r="H31" s="267"/>
      <c r="I31" s="205"/>
      <c r="J31" s="206"/>
    </row>
    <row r="32" spans="1:10" s="11" customFormat="1" x14ac:dyDescent="0.25">
      <c r="D32" s="202"/>
      <c r="E32" s="203"/>
      <c r="F32" s="203"/>
      <c r="G32" s="203"/>
      <c r="H32" s="267"/>
      <c r="I32" s="205"/>
      <c r="J32" s="206"/>
    </row>
    <row r="33" spans="4:10" s="11" customFormat="1" x14ac:dyDescent="0.25">
      <c r="D33" s="202"/>
      <c r="E33" s="203"/>
      <c r="F33" s="203"/>
      <c r="G33" s="203"/>
      <c r="H33" s="267"/>
      <c r="I33" s="205"/>
      <c r="J33" s="206"/>
    </row>
    <row r="34" spans="4:10" s="11" customFormat="1" x14ac:dyDescent="0.25">
      <c r="D34" s="202"/>
      <c r="E34" s="203"/>
      <c r="F34" s="203"/>
      <c r="G34" s="203"/>
      <c r="H34" s="267"/>
      <c r="I34" s="205"/>
      <c r="J34" s="206"/>
    </row>
    <row r="35" spans="4:10" s="11" customFormat="1" x14ac:dyDescent="0.25">
      <c r="D35" s="202"/>
      <c r="E35" s="203"/>
      <c r="F35" s="203"/>
      <c r="G35" s="203"/>
      <c r="H35" s="267"/>
      <c r="I35" s="205"/>
      <c r="J35" s="206"/>
    </row>
    <row r="36" spans="4:10" s="11" customFormat="1" x14ac:dyDescent="0.25">
      <c r="D36" s="202"/>
      <c r="E36" s="203"/>
      <c r="F36" s="203"/>
      <c r="G36" s="203"/>
      <c r="H36" s="267"/>
      <c r="I36" s="205"/>
      <c r="J36" s="206"/>
    </row>
    <row r="37" spans="4:10" s="11" customFormat="1" x14ac:dyDescent="0.25">
      <c r="D37" s="202"/>
      <c r="E37" s="203"/>
      <c r="F37" s="203"/>
      <c r="G37" s="203"/>
      <c r="H37" s="267"/>
      <c r="I37" s="205"/>
      <c r="J37" s="206"/>
    </row>
    <row r="38" spans="4:10" s="11" customFormat="1" x14ac:dyDescent="0.25">
      <c r="D38" s="202"/>
      <c r="E38" s="203"/>
      <c r="F38" s="203"/>
      <c r="G38" s="203"/>
      <c r="H38" s="267"/>
      <c r="I38" s="205"/>
      <c r="J38" s="206"/>
    </row>
    <row r="39" spans="4:10" s="11" customFormat="1" x14ac:dyDescent="0.25">
      <c r="D39" s="202"/>
      <c r="E39" s="203"/>
      <c r="F39" s="203"/>
      <c r="G39" s="203"/>
      <c r="H39" s="267"/>
      <c r="I39" s="205"/>
      <c r="J39" s="206"/>
    </row>
    <row r="40" spans="4:10" s="11" customFormat="1" x14ac:dyDescent="0.25">
      <c r="D40" s="202"/>
      <c r="E40" s="203"/>
      <c r="F40" s="203"/>
      <c r="G40" s="203"/>
      <c r="H40" s="267"/>
      <c r="I40" s="205"/>
      <c r="J40" s="206"/>
    </row>
    <row r="41" spans="4:10" s="11" customFormat="1" x14ac:dyDescent="0.25">
      <c r="D41" s="202"/>
      <c r="E41" s="203"/>
      <c r="F41" s="203"/>
      <c r="G41" s="203"/>
      <c r="H41" s="267"/>
      <c r="I41" s="205"/>
      <c r="J41" s="206"/>
    </row>
    <row r="42" spans="4:10" s="11" customFormat="1" x14ac:dyDescent="0.25">
      <c r="D42" s="202"/>
      <c r="E42" s="203"/>
      <c r="F42" s="203"/>
      <c r="G42" s="203"/>
      <c r="H42" s="267"/>
      <c r="I42" s="205"/>
      <c r="J42" s="206"/>
    </row>
    <row r="43" spans="4:10" s="11" customFormat="1" x14ac:dyDescent="0.25">
      <c r="D43" s="202"/>
      <c r="E43" s="203"/>
      <c r="F43" s="203"/>
      <c r="G43" s="203"/>
      <c r="H43" s="268"/>
      <c r="I43" s="208"/>
      <c r="J43" s="206"/>
    </row>
    <row r="44" spans="4:10" s="11" customFormat="1" x14ac:dyDescent="0.25">
      <c r="D44" s="202"/>
      <c r="E44" s="203"/>
      <c r="F44" s="203"/>
      <c r="G44" s="203"/>
      <c r="H44" s="267"/>
      <c r="I44" s="205"/>
      <c r="J44" s="206"/>
    </row>
    <row r="45" spans="4:10" s="11" customFormat="1" x14ac:dyDescent="0.25">
      <c r="D45" s="202"/>
      <c r="E45" s="203"/>
      <c r="F45" s="203"/>
      <c r="G45" s="203"/>
      <c r="H45" s="267"/>
      <c r="I45" s="205"/>
      <c r="J45" s="206"/>
    </row>
    <row r="46" spans="4:10" s="11" customFormat="1" x14ac:dyDescent="0.25">
      <c r="D46" s="207"/>
      <c r="E46" s="203"/>
      <c r="F46" s="203"/>
      <c r="G46" s="203"/>
      <c r="H46" s="267"/>
      <c r="I46" s="205"/>
      <c r="J46" s="206"/>
    </row>
    <row r="47" spans="4:10" s="11" customFormat="1" x14ac:dyDescent="0.25">
      <c r="D47" s="207"/>
      <c r="E47" s="203"/>
      <c r="F47" s="203"/>
      <c r="G47" s="203"/>
      <c r="H47" s="267"/>
      <c r="I47" s="205"/>
      <c r="J47" s="206"/>
    </row>
    <row r="48" spans="4:10" s="11" customFormat="1" x14ac:dyDescent="0.25">
      <c r="D48" s="207"/>
      <c r="E48" s="203"/>
      <c r="F48" s="203"/>
      <c r="G48" s="203"/>
      <c r="H48" s="267"/>
      <c r="I48" s="205"/>
      <c r="J48" s="206"/>
    </row>
    <row r="49" spans="4:10" s="11" customFormat="1" x14ac:dyDescent="0.25">
      <c r="D49" s="207"/>
      <c r="E49" s="203"/>
      <c r="F49" s="203"/>
      <c r="G49" s="203"/>
      <c r="H49" s="267"/>
      <c r="I49" s="205"/>
      <c r="J49" s="206"/>
    </row>
    <row r="50" spans="4:10" s="11" customFormat="1" x14ac:dyDescent="0.25">
      <c r="D50" s="207"/>
      <c r="E50" s="203"/>
      <c r="F50" s="203"/>
      <c r="G50" s="203"/>
      <c r="H50" s="267"/>
      <c r="I50" s="205"/>
      <c r="J50" s="206"/>
    </row>
    <row r="51" spans="4:10" s="11" customFormat="1" x14ac:dyDescent="0.25">
      <c r="D51" s="207"/>
      <c r="E51" s="203"/>
      <c r="F51" s="203"/>
      <c r="G51" s="203"/>
      <c r="H51" s="267"/>
      <c r="I51" s="205"/>
      <c r="J51" s="206"/>
    </row>
    <row r="52" spans="4:10" s="11" customFormat="1" x14ac:dyDescent="0.25">
      <c r="D52" s="202"/>
      <c r="E52" s="203"/>
      <c r="F52" s="203"/>
      <c r="G52" s="203"/>
      <c r="H52" s="267"/>
      <c r="I52" s="205"/>
      <c r="J52" s="206"/>
    </row>
    <row r="53" spans="4:10" s="11" customFormat="1" x14ac:dyDescent="0.25">
      <c r="D53" s="202"/>
      <c r="E53" s="203"/>
      <c r="F53" s="203"/>
      <c r="G53" s="203"/>
      <c r="H53" s="267"/>
      <c r="I53" s="205"/>
      <c r="J53" s="206"/>
    </row>
    <row r="54" spans="4:10" s="11" customFormat="1" x14ac:dyDescent="0.25">
      <c r="D54" s="202"/>
      <c r="E54" s="203"/>
      <c r="F54" s="203"/>
      <c r="G54" s="203"/>
      <c r="H54" s="267"/>
      <c r="I54" s="205"/>
      <c r="J54" s="206"/>
    </row>
    <row r="55" spans="4:10" s="11" customFormat="1" x14ac:dyDescent="0.25">
      <c r="D55" s="202"/>
      <c r="E55" s="203"/>
      <c r="F55" s="203"/>
      <c r="G55" s="203"/>
      <c r="H55" s="267"/>
      <c r="I55" s="205"/>
      <c r="J55" s="206"/>
    </row>
    <row r="56" spans="4:10" s="11" customFormat="1" x14ac:dyDescent="0.25">
      <c r="D56" s="202"/>
      <c r="E56" s="203"/>
      <c r="F56" s="203"/>
      <c r="G56" s="203"/>
      <c r="H56" s="267"/>
      <c r="I56" s="205"/>
      <c r="J56" s="206"/>
    </row>
    <row r="57" spans="4:10" s="11" customFormat="1" x14ac:dyDescent="0.25">
      <c r="D57" s="202"/>
      <c r="E57" s="203"/>
      <c r="F57" s="203"/>
      <c r="G57" s="203"/>
      <c r="H57" s="267"/>
      <c r="I57" s="205"/>
      <c r="J57" s="206"/>
    </row>
    <row r="58" spans="4:10" s="11" customFormat="1" x14ac:dyDescent="0.25">
      <c r="D58" s="202"/>
      <c r="E58" s="203"/>
      <c r="F58" s="203"/>
      <c r="G58" s="203"/>
      <c r="H58" s="267"/>
      <c r="I58" s="205"/>
      <c r="J58" s="206"/>
    </row>
    <row r="59" spans="4:10" s="11" customFormat="1" x14ac:dyDescent="0.25">
      <c r="D59" s="202"/>
      <c r="E59" s="203"/>
      <c r="F59" s="203"/>
      <c r="G59" s="203"/>
      <c r="H59" s="267"/>
      <c r="I59" s="205"/>
      <c r="J59" s="206"/>
    </row>
    <row r="60" spans="4:10" s="11" customFormat="1" x14ac:dyDescent="0.25">
      <c r="D60" s="202"/>
      <c r="E60" s="203"/>
      <c r="F60" s="203"/>
      <c r="G60" s="203"/>
      <c r="H60" s="267"/>
      <c r="I60" s="205"/>
      <c r="J60" s="206"/>
    </row>
    <row r="61" spans="4:10" s="11" customFormat="1" x14ac:dyDescent="0.25">
      <c r="D61" s="202"/>
      <c r="E61" s="203"/>
      <c r="F61" s="203"/>
      <c r="G61" s="203"/>
      <c r="H61" s="267"/>
      <c r="I61" s="205"/>
      <c r="J61" s="206"/>
    </row>
    <row r="62" spans="4:10" s="11" customFormat="1" x14ac:dyDescent="0.25">
      <c r="D62" s="202"/>
      <c r="E62" s="203"/>
      <c r="F62" s="203"/>
      <c r="G62" s="203"/>
      <c r="H62" s="267"/>
      <c r="I62" s="205"/>
      <c r="J62" s="206"/>
    </row>
    <row r="63" spans="4:10" s="11" customFormat="1" x14ac:dyDescent="0.25">
      <c r="D63" s="202"/>
      <c r="E63" s="203"/>
      <c r="F63" s="203"/>
      <c r="G63" s="203"/>
      <c r="H63" s="267"/>
      <c r="I63" s="205"/>
      <c r="J63" s="206"/>
    </row>
    <row r="64" spans="4:10" s="11" customFormat="1" x14ac:dyDescent="0.25">
      <c r="D64" s="202"/>
      <c r="E64" s="203"/>
      <c r="F64" s="203"/>
      <c r="G64" s="203"/>
      <c r="H64" s="267"/>
      <c r="I64" s="205"/>
      <c r="J64" s="206"/>
    </row>
    <row r="65" spans="4:10" s="11" customFormat="1" x14ac:dyDescent="0.25">
      <c r="D65" s="207"/>
      <c r="E65" s="203"/>
      <c r="F65" s="203"/>
      <c r="G65" s="203"/>
      <c r="H65" s="267"/>
      <c r="I65" s="205"/>
      <c r="J65" s="206"/>
    </row>
    <row r="66" spans="4:10" s="11" customFormat="1" x14ac:dyDescent="0.25">
      <c r="D66" s="207"/>
      <c r="E66" s="203"/>
      <c r="F66" s="203"/>
      <c r="G66" s="203"/>
      <c r="H66" s="267"/>
      <c r="I66" s="205"/>
      <c r="J66" s="206"/>
    </row>
    <row r="67" spans="4:10" s="11" customFormat="1" x14ac:dyDescent="0.25">
      <c r="D67" s="207"/>
      <c r="E67" s="203"/>
      <c r="F67" s="203"/>
      <c r="G67" s="203"/>
      <c r="H67" s="267"/>
      <c r="I67" s="205"/>
      <c r="J67" s="206"/>
    </row>
    <row r="68" spans="4:10" s="11" customFormat="1" x14ac:dyDescent="0.25">
      <c r="D68" s="202"/>
      <c r="E68" s="203"/>
      <c r="F68" s="203"/>
      <c r="G68" s="203"/>
      <c r="H68" s="267"/>
      <c r="I68" s="205"/>
      <c r="J68" s="206"/>
    </row>
    <row r="69" spans="4:10" s="11" customFormat="1" x14ac:dyDescent="0.25">
      <c r="D69" s="202"/>
      <c r="E69" s="203"/>
      <c r="F69" s="203"/>
      <c r="G69" s="203"/>
      <c r="H69" s="267"/>
      <c r="I69" s="205"/>
      <c r="J69" s="206"/>
    </row>
    <row r="70" spans="4:10" s="11" customFormat="1" x14ac:dyDescent="0.25">
      <c r="D70" s="202"/>
      <c r="E70" s="203"/>
      <c r="F70" s="203"/>
      <c r="G70" s="203"/>
      <c r="H70" s="267"/>
      <c r="I70" s="205"/>
      <c r="J70" s="206"/>
    </row>
    <row r="71" spans="4:10" s="11" customFormat="1" x14ac:dyDescent="0.25">
      <c r="D71" s="202"/>
      <c r="E71" s="203"/>
      <c r="F71" s="203"/>
      <c r="G71" s="203"/>
      <c r="H71" s="267"/>
      <c r="I71" s="205"/>
      <c r="J71" s="206"/>
    </row>
    <row r="72" spans="4:10" s="11" customFormat="1" x14ac:dyDescent="0.25">
      <c r="D72" s="202"/>
      <c r="E72" s="203"/>
      <c r="F72" s="203"/>
      <c r="G72" s="203"/>
      <c r="H72" s="267"/>
      <c r="I72" s="205"/>
      <c r="J72" s="206"/>
    </row>
    <row r="73" spans="4:10" s="11" customFormat="1" x14ac:dyDescent="0.25">
      <c r="D73" s="202"/>
      <c r="E73" s="203"/>
      <c r="F73" s="203"/>
      <c r="G73" s="203"/>
      <c r="H73" s="267"/>
      <c r="I73" s="205"/>
      <c r="J73" s="206"/>
    </row>
    <row r="74" spans="4:10" s="11" customFormat="1" x14ac:dyDescent="0.25">
      <c r="D74" s="202"/>
      <c r="E74" s="203"/>
      <c r="F74" s="203"/>
      <c r="G74" s="203"/>
      <c r="H74" s="267"/>
      <c r="I74" s="205"/>
      <c r="J74" s="206"/>
    </row>
    <row r="75" spans="4:10" s="11" customFormat="1" x14ac:dyDescent="0.25">
      <c r="D75" s="202"/>
      <c r="E75" s="203"/>
      <c r="F75" s="203"/>
      <c r="G75" s="203"/>
      <c r="H75" s="267"/>
      <c r="I75" s="205"/>
      <c r="J75" s="206"/>
    </row>
    <row r="76" spans="4:10" s="11" customFormat="1" x14ac:dyDescent="0.25">
      <c r="D76" s="207"/>
      <c r="E76" s="203"/>
      <c r="F76" s="203"/>
      <c r="G76" s="203"/>
      <c r="H76" s="267"/>
      <c r="I76" s="205"/>
      <c r="J76" s="206"/>
    </row>
    <row r="77" spans="4:10" s="11" customFormat="1" x14ac:dyDescent="0.25">
      <c r="D77" s="202"/>
      <c r="E77" s="203"/>
      <c r="F77" s="203"/>
      <c r="G77" s="203"/>
      <c r="H77" s="267"/>
      <c r="I77" s="205"/>
      <c r="J77" s="206"/>
    </row>
    <row r="78" spans="4:10" s="11" customFormat="1" x14ac:dyDescent="0.25">
      <c r="D78" s="209"/>
      <c r="E78" s="210"/>
      <c r="F78" s="210"/>
      <c r="G78" s="210"/>
      <c r="H78" s="269"/>
      <c r="I78" s="211"/>
      <c r="J78" s="212"/>
    </row>
    <row r="79" spans="4:10" s="11" customFormat="1" x14ac:dyDescent="0.25">
      <c r="D79" s="213"/>
      <c r="E79" s="265"/>
      <c r="F79" s="265"/>
      <c r="G79" s="265"/>
      <c r="H79" s="270"/>
      <c r="I79" s="214"/>
      <c r="J79" s="214"/>
    </row>
    <row r="80" spans="4:10" s="11" customFormat="1" x14ac:dyDescent="0.25">
      <c r="E80" s="10"/>
      <c r="F80" s="10"/>
      <c r="G80" s="10"/>
      <c r="H80" s="150"/>
      <c r="I80" s="57"/>
      <c r="J80" s="57"/>
    </row>
    <row r="81" spans="5:10" s="11" customFormat="1" x14ac:dyDescent="0.25">
      <c r="E81" s="10"/>
      <c r="F81" s="10"/>
      <c r="G81" s="10"/>
      <c r="H81" s="150"/>
      <c r="I81" s="57"/>
      <c r="J81" s="57"/>
    </row>
    <row r="82" spans="5:10" s="11" customFormat="1" x14ac:dyDescent="0.25">
      <c r="E82" s="10"/>
      <c r="F82" s="10"/>
      <c r="G82" s="10"/>
      <c r="H82" s="150"/>
      <c r="I82" s="57"/>
      <c r="J82" s="57"/>
    </row>
    <row r="83" spans="5:10" s="11" customFormat="1" x14ac:dyDescent="0.25">
      <c r="E83" s="10"/>
      <c r="F83" s="10"/>
      <c r="G83" s="10"/>
      <c r="H83" s="150"/>
      <c r="I83" s="57"/>
      <c r="J83" s="57"/>
    </row>
    <row r="84" spans="5:10" s="11" customFormat="1" x14ac:dyDescent="0.25">
      <c r="E84" s="10"/>
      <c r="F84" s="10"/>
      <c r="G84" s="10"/>
      <c r="H84" s="150"/>
      <c r="I84" s="57"/>
      <c r="J84" s="57"/>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heetViews>
  <sheetFormatPr defaultRowHeight="15" x14ac:dyDescent="0.25"/>
  <cols>
    <col min="1" max="1" width="9.140625" style="104"/>
    <col min="2" max="2" width="12" style="104" customWidth="1"/>
    <col min="3" max="3" width="18.5703125" style="104" customWidth="1"/>
    <col min="4" max="4" width="38.28515625" style="104" customWidth="1"/>
    <col min="5" max="6" width="14.85546875" style="105" customWidth="1"/>
    <col min="7" max="7" width="11.42578125" style="105" customWidth="1"/>
    <col min="8" max="8" width="15.5703125" style="105" customWidth="1"/>
    <col min="9" max="9" width="24.42578125" style="104" customWidth="1"/>
    <col min="10" max="10" width="65.7109375" style="104" customWidth="1"/>
    <col min="11" max="16384" width="9.140625" style="104"/>
  </cols>
  <sheetData>
    <row r="1" spans="1:10" s="1" customFormat="1" ht="90" x14ac:dyDescent="0.25">
      <c r="A1" s="1" t="s">
        <v>0</v>
      </c>
      <c r="B1" s="1" t="s">
        <v>263</v>
      </c>
      <c r="C1" s="1" t="s">
        <v>264</v>
      </c>
      <c r="D1" s="1" t="s">
        <v>1</v>
      </c>
      <c r="E1" s="1" t="s">
        <v>5</v>
      </c>
      <c r="F1" s="1" t="s">
        <v>3</v>
      </c>
      <c r="G1" s="1" t="s">
        <v>2</v>
      </c>
      <c r="H1" s="48" t="s">
        <v>267</v>
      </c>
      <c r="I1" s="1" t="s">
        <v>4</v>
      </c>
      <c r="J1" s="1" t="s">
        <v>7</v>
      </c>
    </row>
    <row r="2" spans="1:10" ht="150" x14ac:dyDescent="0.25">
      <c r="A2" s="104" t="s">
        <v>435</v>
      </c>
      <c r="B2" s="104" t="s">
        <v>965</v>
      </c>
      <c r="C2" s="104" t="s">
        <v>436</v>
      </c>
      <c r="D2" s="107" t="s">
        <v>966</v>
      </c>
      <c r="E2" s="262">
        <f>9*5280</f>
        <v>47520</v>
      </c>
      <c r="F2" s="72">
        <v>9</v>
      </c>
      <c r="G2" s="38" t="s">
        <v>437</v>
      </c>
      <c r="H2" s="38" t="s">
        <v>969</v>
      </c>
      <c r="I2" s="107" t="s">
        <v>968</v>
      </c>
      <c r="J2" s="107" t="s">
        <v>967</v>
      </c>
    </row>
    <row r="3" spans="1:10" ht="45" x14ac:dyDescent="0.25">
      <c r="A3" s="104" t="s">
        <v>435</v>
      </c>
      <c r="B3" s="104" t="s">
        <v>965</v>
      </c>
      <c r="C3" s="104" t="s">
        <v>440</v>
      </c>
      <c r="D3" s="107" t="s">
        <v>974</v>
      </c>
      <c r="E3" s="262">
        <v>2900</v>
      </c>
      <c r="F3" s="258" t="s">
        <v>853</v>
      </c>
      <c r="G3" s="38">
        <v>1971</v>
      </c>
      <c r="H3" s="38">
        <v>1986</v>
      </c>
      <c r="I3" s="107" t="s">
        <v>972</v>
      </c>
      <c r="J3" s="107" t="s">
        <v>976</v>
      </c>
    </row>
    <row r="4" spans="1:10" ht="60" x14ac:dyDescent="0.25">
      <c r="A4" s="104" t="s">
        <v>435</v>
      </c>
      <c r="B4" s="104" t="s">
        <v>965</v>
      </c>
      <c r="C4" s="104" t="s">
        <v>440</v>
      </c>
      <c r="D4" s="107" t="s">
        <v>978</v>
      </c>
      <c r="E4" s="178">
        <v>21934</v>
      </c>
      <c r="F4" s="72">
        <v>1</v>
      </c>
      <c r="G4" s="38">
        <v>1963</v>
      </c>
      <c r="H4" s="38"/>
      <c r="I4" s="107" t="s">
        <v>972</v>
      </c>
      <c r="J4" s="107" t="s">
        <v>979</v>
      </c>
    </row>
    <row r="5" spans="1:10" ht="60" x14ac:dyDescent="0.25">
      <c r="A5" s="104" t="s">
        <v>435</v>
      </c>
      <c r="B5" s="104" t="s">
        <v>965</v>
      </c>
      <c r="C5" s="104" t="s">
        <v>440</v>
      </c>
      <c r="D5" s="107" t="s">
        <v>970</v>
      </c>
      <c r="E5" s="262">
        <f>F5*5280</f>
        <v>111408.00000000001</v>
      </c>
      <c r="F5" s="72">
        <v>21.1</v>
      </c>
      <c r="G5" s="38">
        <v>1950</v>
      </c>
      <c r="H5" s="38">
        <v>1963</v>
      </c>
      <c r="I5" s="107" t="s">
        <v>971</v>
      </c>
      <c r="J5" s="107" t="s">
        <v>438</v>
      </c>
    </row>
    <row r="6" spans="1:10" ht="60" x14ac:dyDescent="0.25">
      <c r="A6" s="104" t="s">
        <v>435</v>
      </c>
      <c r="B6" s="104" t="s">
        <v>965</v>
      </c>
      <c r="C6" s="104" t="s">
        <v>440</v>
      </c>
      <c r="D6" s="107" t="s">
        <v>975</v>
      </c>
      <c r="E6" s="178">
        <v>39864</v>
      </c>
      <c r="F6" s="258" t="s">
        <v>853</v>
      </c>
      <c r="G6" s="38">
        <v>1963</v>
      </c>
      <c r="I6" s="107" t="s">
        <v>972</v>
      </c>
      <c r="J6" s="108" t="s">
        <v>439</v>
      </c>
    </row>
    <row r="7" spans="1:10" ht="45" x14ac:dyDescent="0.25">
      <c r="A7" s="104" t="s">
        <v>435</v>
      </c>
      <c r="B7" s="104" t="s">
        <v>965</v>
      </c>
      <c r="C7" s="104" t="s">
        <v>440</v>
      </c>
      <c r="D7" s="107" t="s">
        <v>977</v>
      </c>
      <c r="E7" s="178">
        <v>36274</v>
      </c>
      <c r="F7" s="258" t="s">
        <v>853</v>
      </c>
      <c r="G7" s="38">
        <v>2002</v>
      </c>
      <c r="H7" s="38"/>
      <c r="I7" s="107" t="s">
        <v>441</v>
      </c>
      <c r="J7" s="107" t="s">
        <v>442</v>
      </c>
    </row>
    <row r="8" spans="1:10" ht="45" x14ac:dyDescent="0.25">
      <c r="A8" s="104" t="s">
        <v>435</v>
      </c>
      <c r="B8" s="104" t="s">
        <v>965</v>
      </c>
      <c r="C8" s="104" t="s">
        <v>440</v>
      </c>
      <c r="D8" s="104" t="s">
        <v>443</v>
      </c>
      <c r="E8" s="179">
        <v>8448</v>
      </c>
      <c r="F8" s="258" t="s">
        <v>319</v>
      </c>
      <c r="G8" s="105">
        <v>2004</v>
      </c>
      <c r="H8" s="38" t="s">
        <v>444</v>
      </c>
      <c r="I8" s="107" t="s">
        <v>445</v>
      </c>
      <c r="J8" s="107" t="s">
        <v>446</v>
      </c>
    </row>
    <row r="9" spans="1:10" ht="45" x14ac:dyDescent="0.25">
      <c r="A9" s="104" t="s">
        <v>435</v>
      </c>
      <c r="B9" s="104" t="s">
        <v>965</v>
      </c>
      <c r="C9" s="104" t="s">
        <v>440</v>
      </c>
      <c r="D9" s="107" t="s">
        <v>980</v>
      </c>
      <c r="E9" s="179">
        <v>8659</v>
      </c>
      <c r="F9" s="258" t="s">
        <v>853</v>
      </c>
      <c r="G9" s="38">
        <v>1998</v>
      </c>
      <c r="H9" s="38">
        <v>2002</v>
      </c>
      <c r="I9" s="107" t="s">
        <v>973</v>
      </c>
      <c r="J9" s="112" t="s">
        <v>981</v>
      </c>
    </row>
    <row r="10" spans="1:10" ht="90" x14ac:dyDescent="0.25">
      <c r="A10" s="104" t="s">
        <v>435</v>
      </c>
      <c r="B10" s="104" t="s">
        <v>965</v>
      </c>
      <c r="C10" s="104" t="s">
        <v>440</v>
      </c>
      <c r="D10" s="107" t="s">
        <v>982</v>
      </c>
      <c r="E10" s="178">
        <v>10560</v>
      </c>
      <c r="F10" s="258" t="s">
        <v>853</v>
      </c>
      <c r="G10" s="105" t="s">
        <v>158</v>
      </c>
      <c r="H10" s="67" t="s">
        <v>983</v>
      </c>
      <c r="I10" s="107" t="s">
        <v>984</v>
      </c>
      <c r="J10" s="107" t="s">
        <v>985</v>
      </c>
    </row>
    <row r="12" spans="1:10" x14ac:dyDescent="0.25">
      <c r="D12" s="5" t="s">
        <v>6</v>
      </c>
      <c r="F12" s="73">
        <f>SUM(F2:F10)</f>
        <v>31.1</v>
      </c>
    </row>
    <row r="13" spans="1:10" x14ac:dyDescent="0.25">
      <c r="D13" s="11"/>
    </row>
    <row r="15" spans="1:10" s="11" customFormat="1" x14ac:dyDescent="0.25">
      <c r="E15" s="10"/>
      <c r="F15" s="10"/>
      <c r="G15" s="105"/>
      <c r="H15" s="10"/>
    </row>
    <row r="16" spans="1:10" s="11" customFormat="1" x14ac:dyDescent="0.25">
      <c r="E16" s="215"/>
      <c r="F16" s="215"/>
      <c r="G16" s="215"/>
      <c r="H16" s="215"/>
      <c r="I16" s="216"/>
      <c r="J16" s="217"/>
    </row>
    <row r="17" spans="1:10" s="11" customFormat="1" x14ac:dyDescent="0.25">
      <c r="A17" s="123" t="s">
        <v>247</v>
      </c>
      <c r="B17" s="124" t="s">
        <v>284</v>
      </c>
      <c r="C17" s="183"/>
      <c r="D17" s="124"/>
      <c r="E17" s="203"/>
      <c r="F17" s="203"/>
      <c r="G17" s="203"/>
      <c r="H17" s="271"/>
      <c r="I17" s="219"/>
      <c r="J17" s="220"/>
    </row>
    <row r="18" spans="1:10" s="11" customFormat="1" x14ac:dyDescent="0.25">
      <c r="A18" s="70"/>
      <c r="B18" s="124" t="s">
        <v>248</v>
      </c>
      <c r="C18" s="187"/>
      <c r="D18" s="99"/>
      <c r="E18" s="203"/>
      <c r="F18" s="203"/>
      <c r="G18" s="203"/>
      <c r="H18" s="271"/>
      <c r="I18" s="218"/>
      <c r="J18" s="220"/>
    </row>
    <row r="19" spans="1:10" s="11" customFormat="1" x14ac:dyDescent="0.25">
      <c r="A19" s="107"/>
      <c r="B19" s="124" t="s">
        <v>1411</v>
      </c>
      <c r="C19" s="187"/>
      <c r="D19" s="124"/>
      <c r="E19" s="203"/>
      <c r="F19" s="203"/>
      <c r="G19" s="203"/>
      <c r="H19" s="271"/>
      <c r="I19" s="218"/>
      <c r="J19" s="220"/>
    </row>
    <row r="20" spans="1:10" s="11" customFormat="1" x14ac:dyDescent="0.25">
      <c r="B20" s="125" t="s">
        <v>485</v>
      </c>
      <c r="C20" s="187"/>
      <c r="D20" s="125"/>
      <c r="E20" s="203"/>
      <c r="F20" s="203"/>
      <c r="G20" s="203"/>
      <c r="H20" s="271"/>
      <c r="I20" s="218"/>
      <c r="J20" s="220"/>
    </row>
    <row r="21" spans="1:10" s="11" customFormat="1" x14ac:dyDescent="0.25">
      <c r="B21" s="192"/>
      <c r="C21" s="234" t="s">
        <v>483</v>
      </c>
      <c r="D21" s="204"/>
      <c r="E21" s="203"/>
      <c r="F21" s="203"/>
      <c r="G21" s="203"/>
      <c r="H21" s="203"/>
      <c r="I21" s="218"/>
      <c r="J21" s="220"/>
    </row>
    <row r="22" spans="1:10" s="11" customFormat="1" x14ac:dyDescent="0.25">
      <c r="D22" s="204"/>
      <c r="E22" s="203"/>
      <c r="F22" s="203"/>
      <c r="G22" s="203"/>
      <c r="H22" s="203"/>
      <c r="I22" s="218"/>
      <c r="J22" s="220"/>
    </row>
    <row r="23" spans="1:10" s="11" customFormat="1" x14ac:dyDescent="0.25">
      <c r="D23" s="204"/>
      <c r="E23" s="203"/>
      <c r="F23" s="203"/>
      <c r="G23" s="203"/>
      <c r="H23" s="271"/>
      <c r="I23" s="218"/>
      <c r="J23" s="220"/>
    </row>
    <row r="24" spans="1:10" s="11" customFormat="1" x14ac:dyDescent="0.25">
      <c r="D24" s="221"/>
      <c r="E24" s="215"/>
      <c r="F24" s="215"/>
      <c r="G24" s="215"/>
      <c r="H24" s="272"/>
      <c r="I24" s="222"/>
      <c r="J24" s="217"/>
    </row>
    <row r="25" spans="1:10" s="11" customFormat="1" x14ac:dyDescent="0.25">
      <c r="E25" s="10"/>
      <c r="F25" s="10"/>
      <c r="G25" s="10"/>
      <c r="H25" s="10"/>
    </row>
    <row r="26" spans="1:10" s="11" customFormat="1" x14ac:dyDescent="0.25">
      <c r="E26" s="10"/>
      <c r="F26" s="10"/>
      <c r="G26" s="10"/>
      <c r="H26" s="10"/>
    </row>
    <row r="27" spans="1:10" s="11" customFormat="1" x14ac:dyDescent="0.25">
      <c r="E27" s="10"/>
      <c r="F27" s="10"/>
      <c r="G27" s="10"/>
      <c r="H27" s="10"/>
    </row>
    <row r="28" spans="1:10" s="11" customFormat="1" x14ac:dyDescent="0.25">
      <c r="E28" s="10"/>
      <c r="F28" s="10"/>
      <c r="G28" s="10"/>
      <c r="H28" s="10"/>
    </row>
    <row r="29" spans="1:10" s="11" customFormat="1" x14ac:dyDescent="0.25">
      <c r="E29" s="10"/>
      <c r="F29" s="10"/>
      <c r="G29" s="10"/>
      <c r="H29" s="10"/>
    </row>
    <row r="30" spans="1:10" s="11" customFormat="1" x14ac:dyDescent="0.25">
      <c r="E30" s="10"/>
      <c r="F30" s="10"/>
      <c r="G30" s="10"/>
      <c r="H30" s="10"/>
    </row>
    <row r="31" spans="1:10" s="11" customFormat="1" x14ac:dyDescent="0.25">
      <c r="E31" s="10"/>
      <c r="F31" s="10"/>
      <c r="G31" s="10"/>
      <c r="H31" s="10"/>
    </row>
    <row r="32" spans="1:10" s="11" customFormat="1" x14ac:dyDescent="0.25">
      <c r="E32" s="10"/>
      <c r="F32" s="10"/>
      <c r="G32" s="10"/>
      <c r="H32" s="10"/>
    </row>
    <row r="33" spans="5:8" s="11" customFormat="1" x14ac:dyDescent="0.25">
      <c r="E33" s="10"/>
      <c r="F33" s="10"/>
      <c r="G33" s="10"/>
      <c r="H33" s="10"/>
    </row>
    <row r="34" spans="5:8" s="11" customFormat="1" x14ac:dyDescent="0.25">
      <c r="E34" s="10"/>
      <c r="F34" s="10"/>
      <c r="G34" s="10"/>
      <c r="H34" s="10"/>
    </row>
  </sheetData>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sheetViews>
  <sheetFormatPr defaultRowHeight="15" x14ac:dyDescent="0.25"/>
  <cols>
    <col min="1" max="1" width="9.140625" style="104"/>
    <col min="2" max="2" width="12" style="104" customWidth="1"/>
    <col min="3" max="3" width="16.5703125" style="104" customWidth="1"/>
    <col min="4" max="4" width="38.5703125" style="104" customWidth="1"/>
    <col min="5" max="6" width="14.85546875" style="105" customWidth="1"/>
    <col min="7" max="7" width="11.42578125" style="105" customWidth="1"/>
    <col min="8" max="8" width="15" style="105" customWidth="1"/>
    <col min="9" max="9" width="24.42578125" style="104" customWidth="1"/>
    <col min="10" max="10" width="79.85546875" style="107" customWidth="1"/>
    <col min="11" max="11" width="9.140625" style="104"/>
    <col min="12" max="12" width="11.5703125" style="104" bestFit="1" customWidth="1"/>
    <col min="13" max="16384" width="9.140625" style="104"/>
  </cols>
  <sheetData>
    <row r="1" spans="1:10" s="1" customFormat="1" ht="90" x14ac:dyDescent="0.25">
      <c r="A1" s="1" t="s">
        <v>0</v>
      </c>
      <c r="B1" s="1" t="s">
        <v>263</v>
      </c>
      <c r="C1" s="1" t="s">
        <v>264</v>
      </c>
      <c r="D1" s="1" t="s">
        <v>1</v>
      </c>
      <c r="E1" s="1" t="s">
        <v>5</v>
      </c>
      <c r="F1" s="1" t="s">
        <v>3</v>
      </c>
      <c r="G1" s="1" t="s">
        <v>2</v>
      </c>
      <c r="H1" s="48" t="s">
        <v>267</v>
      </c>
      <c r="I1" s="1" t="s">
        <v>4</v>
      </c>
      <c r="J1" s="1" t="s">
        <v>7</v>
      </c>
    </row>
    <row r="2" spans="1:10" s="108" customFormat="1" ht="60" x14ac:dyDescent="0.25">
      <c r="A2" s="108" t="s">
        <v>448</v>
      </c>
      <c r="B2" s="104" t="s">
        <v>990</v>
      </c>
      <c r="C2" s="108" t="s">
        <v>988</v>
      </c>
      <c r="D2" s="108" t="s">
        <v>986</v>
      </c>
      <c r="E2" s="178">
        <f>F2*5280</f>
        <v>75504</v>
      </c>
      <c r="F2" s="277">
        <v>14.3</v>
      </c>
      <c r="G2" s="15">
        <v>1963</v>
      </c>
      <c r="H2" s="15"/>
      <c r="I2" s="108" t="s">
        <v>972</v>
      </c>
      <c r="J2" s="108" t="s">
        <v>987</v>
      </c>
    </row>
    <row r="3" spans="1:10" s="77" customFormat="1" ht="45" x14ac:dyDescent="0.25">
      <c r="A3" s="77" t="s">
        <v>448</v>
      </c>
      <c r="B3" s="104" t="s">
        <v>990</v>
      </c>
      <c r="C3" s="77" t="s">
        <v>449</v>
      </c>
      <c r="D3" s="77" t="s">
        <v>994</v>
      </c>
      <c r="E3" s="247">
        <v>19700</v>
      </c>
      <c r="F3" s="132">
        <f>E3/5280</f>
        <v>3.731060606060606</v>
      </c>
      <c r="G3" s="86">
        <v>2012</v>
      </c>
      <c r="H3" s="117" t="s">
        <v>996</v>
      </c>
      <c r="I3" s="77" t="s">
        <v>450</v>
      </c>
      <c r="J3" s="82" t="s">
        <v>451</v>
      </c>
    </row>
    <row r="4" spans="1:10" s="77" customFormat="1" ht="75" x14ac:dyDescent="0.25">
      <c r="A4" s="77" t="s">
        <v>448</v>
      </c>
      <c r="B4" s="104" t="s">
        <v>990</v>
      </c>
      <c r="C4" s="77" t="s">
        <v>449</v>
      </c>
      <c r="D4" s="77" t="s">
        <v>991</v>
      </c>
      <c r="E4" s="247">
        <f>2.1*5280</f>
        <v>11088</v>
      </c>
      <c r="F4" s="132" t="s">
        <v>853</v>
      </c>
      <c r="G4" s="86" t="s">
        <v>997</v>
      </c>
      <c r="H4" s="117">
        <v>2013</v>
      </c>
      <c r="I4" s="77" t="s">
        <v>993</v>
      </c>
      <c r="J4" s="82" t="s">
        <v>992</v>
      </c>
    </row>
    <row r="5" spans="1:10" s="77" customFormat="1" ht="45" x14ac:dyDescent="0.25">
      <c r="A5" s="77" t="s">
        <v>448</v>
      </c>
      <c r="B5" s="104" t="s">
        <v>990</v>
      </c>
      <c r="C5" s="77" t="s">
        <v>449</v>
      </c>
      <c r="D5" s="77" t="s">
        <v>995</v>
      </c>
      <c r="E5" s="247">
        <v>2270</v>
      </c>
      <c r="F5" s="241" t="s">
        <v>853</v>
      </c>
      <c r="G5" s="86" t="s">
        <v>989</v>
      </c>
      <c r="H5" s="117"/>
      <c r="I5" s="77" t="s">
        <v>452</v>
      </c>
      <c r="J5" s="82" t="s">
        <v>453</v>
      </c>
    </row>
    <row r="6" spans="1:10" s="236" customFormat="1" ht="105" x14ac:dyDescent="0.25">
      <c r="A6" s="236" t="s">
        <v>448</v>
      </c>
      <c r="B6" s="144" t="s">
        <v>454</v>
      </c>
      <c r="C6" s="236" t="s">
        <v>454</v>
      </c>
      <c r="D6" s="236" t="s">
        <v>999</v>
      </c>
      <c r="E6" s="245">
        <v>435</v>
      </c>
      <c r="F6" s="240">
        <f>E6/5280</f>
        <v>8.2386363636363633E-2</v>
      </c>
      <c r="G6" s="153" t="s">
        <v>154</v>
      </c>
      <c r="H6" s="235"/>
      <c r="I6" s="236" t="s">
        <v>1001</v>
      </c>
      <c r="J6" s="237" t="s">
        <v>1000</v>
      </c>
    </row>
    <row r="7" spans="1:10" ht="105" x14ac:dyDescent="0.25">
      <c r="A7" s="104" t="s">
        <v>448</v>
      </c>
      <c r="B7" s="77" t="s">
        <v>454</v>
      </c>
      <c r="C7" s="77" t="s">
        <v>454</v>
      </c>
      <c r="D7" s="107" t="s">
        <v>1002</v>
      </c>
      <c r="E7" s="262">
        <v>31680</v>
      </c>
      <c r="F7" s="261">
        <f>E7/5280</f>
        <v>6</v>
      </c>
      <c r="G7" s="105">
        <v>1951</v>
      </c>
      <c r="H7" s="109" t="s">
        <v>455</v>
      </c>
      <c r="I7" s="107" t="s">
        <v>1004</v>
      </c>
      <c r="J7" s="107" t="s">
        <v>1003</v>
      </c>
    </row>
    <row r="8" spans="1:10" ht="120" x14ac:dyDescent="0.25">
      <c r="A8" s="77" t="s">
        <v>448</v>
      </c>
      <c r="B8" s="77" t="s">
        <v>454</v>
      </c>
      <c r="C8" s="77" t="s">
        <v>454</v>
      </c>
      <c r="D8" s="77" t="s">
        <v>998</v>
      </c>
      <c r="E8" s="262">
        <v>4660</v>
      </c>
      <c r="F8" s="154" t="s">
        <v>853</v>
      </c>
      <c r="G8" s="105" t="s">
        <v>158</v>
      </c>
      <c r="H8" s="109" t="s">
        <v>207</v>
      </c>
      <c r="I8" s="107" t="s">
        <v>1032</v>
      </c>
      <c r="J8" s="107" t="s">
        <v>1031</v>
      </c>
    </row>
    <row r="9" spans="1:10" ht="60" x14ac:dyDescent="0.25">
      <c r="A9" s="104" t="s">
        <v>448</v>
      </c>
      <c r="B9" s="77" t="s">
        <v>454</v>
      </c>
      <c r="C9" s="77" t="s">
        <v>454</v>
      </c>
      <c r="D9" s="104" t="s">
        <v>1035</v>
      </c>
      <c r="E9" s="262">
        <v>10050</v>
      </c>
      <c r="F9" s="261">
        <f>E9/5280</f>
        <v>1.9034090909090908</v>
      </c>
      <c r="G9" s="105">
        <v>1996</v>
      </c>
      <c r="H9" s="67" t="s">
        <v>1033</v>
      </c>
      <c r="I9" s="107" t="s">
        <v>1005</v>
      </c>
      <c r="J9" s="107" t="s">
        <v>1034</v>
      </c>
    </row>
    <row r="10" spans="1:10" ht="75" x14ac:dyDescent="0.25">
      <c r="A10" s="104" t="s">
        <v>448</v>
      </c>
      <c r="B10" s="77" t="s">
        <v>454</v>
      </c>
      <c r="C10" s="77" t="s">
        <v>454</v>
      </c>
      <c r="D10" s="107" t="s">
        <v>1036</v>
      </c>
      <c r="E10" s="262">
        <v>26400</v>
      </c>
      <c r="F10" s="261">
        <f>E10/5280</f>
        <v>5</v>
      </c>
      <c r="G10" s="105">
        <v>1962</v>
      </c>
      <c r="H10" s="38" t="s">
        <v>1037</v>
      </c>
      <c r="I10" s="107" t="s">
        <v>1006</v>
      </c>
      <c r="J10" s="107" t="s">
        <v>1038</v>
      </c>
    </row>
    <row r="12" spans="1:10" x14ac:dyDescent="0.25">
      <c r="D12" s="5" t="s">
        <v>6</v>
      </c>
      <c r="E12" s="13"/>
      <c r="F12" s="73">
        <f>SUM(F2:F10)-F13</f>
        <v>30.934469696969696</v>
      </c>
      <c r="G12" s="97" t="s">
        <v>320</v>
      </c>
    </row>
    <row r="13" spans="1:10" s="11" customFormat="1" x14ac:dyDescent="0.25">
      <c r="E13" s="10"/>
      <c r="F13" s="26">
        <f>F6</f>
        <v>8.2386363636363633E-2</v>
      </c>
      <c r="G13" s="97" t="s">
        <v>154</v>
      </c>
      <c r="H13" s="10"/>
      <c r="J13" s="57"/>
    </row>
    <row r="14" spans="1:10" s="11" customFormat="1" x14ac:dyDescent="0.25">
      <c r="E14" s="223"/>
      <c r="F14" s="278"/>
      <c r="G14" s="105"/>
      <c r="H14" s="223"/>
      <c r="I14" s="224"/>
      <c r="J14" s="275"/>
    </row>
    <row r="15" spans="1:10" s="11" customFormat="1" x14ac:dyDescent="0.25">
      <c r="E15" s="225"/>
      <c r="F15" s="225"/>
      <c r="G15" s="225"/>
      <c r="H15" s="273"/>
      <c r="I15" s="227"/>
      <c r="J15" s="276"/>
    </row>
    <row r="16" spans="1:10" s="11" customFormat="1" x14ac:dyDescent="0.25">
      <c r="A16" s="123" t="s">
        <v>247</v>
      </c>
      <c r="B16" s="124" t="s">
        <v>284</v>
      </c>
      <c r="C16" s="183"/>
      <c r="D16" s="124"/>
      <c r="E16" s="225"/>
      <c r="F16" s="225"/>
      <c r="G16" s="225"/>
      <c r="H16" s="273"/>
      <c r="I16" s="227"/>
      <c r="J16" s="276"/>
    </row>
    <row r="17" spans="1:10" s="11" customFormat="1" x14ac:dyDescent="0.25">
      <c r="A17" s="70"/>
      <c r="B17" s="124" t="s">
        <v>248</v>
      </c>
      <c r="C17" s="187"/>
      <c r="D17" s="99"/>
      <c r="E17" s="225"/>
      <c r="F17" s="225"/>
      <c r="G17" s="225"/>
      <c r="H17" s="273"/>
      <c r="I17" s="227"/>
      <c r="J17" s="276"/>
    </row>
    <row r="18" spans="1:10" s="11" customFormat="1" x14ac:dyDescent="0.25">
      <c r="A18" s="107"/>
      <c r="B18" s="124" t="s">
        <v>1411</v>
      </c>
      <c r="C18" s="187"/>
      <c r="D18" s="124"/>
      <c r="E18" s="225"/>
      <c r="F18" s="225"/>
      <c r="G18" s="225"/>
      <c r="H18" s="273"/>
      <c r="I18" s="228"/>
      <c r="J18" s="276"/>
    </row>
    <row r="19" spans="1:10" s="11" customFormat="1" x14ac:dyDescent="0.25">
      <c r="B19" s="125" t="s">
        <v>485</v>
      </c>
      <c r="C19" s="187"/>
      <c r="D19" s="125"/>
      <c r="E19" s="225"/>
      <c r="F19" s="225"/>
      <c r="G19" s="225"/>
      <c r="H19" s="273"/>
      <c r="I19" s="228"/>
      <c r="J19" s="276"/>
    </row>
    <row r="20" spans="1:10" s="11" customFormat="1" x14ac:dyDescent="0.25">
      <c r="B20" s="192"/>
      <c r="C20" s="234" t="s">
        <v>483</v>
      </c>
      <c r="D20" s="226"/>
      <c r="E20" s="225"/>
      <c r="F20" s="225"/>
      <c r="G20" s="225"/>
      <c r="H20" s="273"/>
      <c r="I20" s="228"/>
      <c r="J20" s="276"/>
    </row>
    <row r="21" spans="1:10" s="11" customFormat="1" x14ac:dyDescent="0.25">
      <c r="D21" s="226"/>
      <c r="E21" s="225"/>
      <c r="F21" s="225"/>
      <c r="G21" s="225"/>
      <c r="H21" s="273"/>
      <c r="I21" s="228"/>
      <c r="J21" s="276"/>
    </row>
    <row r="22" spans="1:10" s="11" customFormat="1" x14ac:dyDescent="0.25">
      <c r="D22" s="226"/>
      <c r="E22" s="225"/>
      <c r="F22" s="225"/>
      <c r="G22" s="225"/>
      <c r="H22" s="273"/>
      <c r="I22" s="228"/>
      <c r="J22" s="276"/>
    </row>
    <row r="23" spans="1:10" s="11" customFormat="1" x14ac:dyDescent="0.25">
      <c r="D23" s="226"/>
      <c r="E23" s="225"/>
      <c r="F23" s="225"/>
      <c r="G23" s="225"/>
      <c r="H23" s="273"/>
      <c r="I23" s="228"/>
      <c r="J23" s="276"/>
    </row>
    <row r="24" spans="1:10" s="11" customFormat="1" x14ac:dyDescent="0.25">
      <c r="D24" s="226"/>
      <c r="E24" s="225"/>
      <c r="F24" s="225"/>
      <c r="G24" s="225"/>
      <c r="H24" s="273"/>
      <c r="I24" s="228"/>
      <c r="J24" s="276"/>
    </row>
    <row r="25" spans="1:10" s="11" customFormat="1" x14ac:dyDescent="0.25">
      <c r="D25" s="226"/>
      <c r="E25" s="225"/>
      <c r="F25" s="225"/>
      <c r="G25" s="225"/>
      <c r="H25" s="273"/>
      <c r="I25" s="228"/>
      <c r="J25" s="276"/>
    </row>
    <row r="26" spans="1:10" s="11" customFormat="1" x14ac:dyDescent="0.25">
      <c r="D26" s="226"/>
      <c r="E26" s="225"/>
      <c r="F26" s="225"/>
      <c r="G26" s="225"/>
      <c r="H26" s="273"/>
      <c r="I26" s="228"/>
      <c r="J26" s="276"/>
    </row>
    <row r="27" spans="1:10" s="11" customFormat="1" x14ac:dyDescent="0.25">
      <c r="D27" s="226"/>
      <c r="E27" s="225"/>
      <c r="F27" s="225"/>
      <c r="G27" s="225"/>
      <c r="H27" s="273"/>
      <c r="I27" s="228"/>
      <c r="J27" s="276"/>
    </row>
    <row r="28" spans="1:10" s="11" customFormat="1" x14ac:dyDescent="0.25">
      <c r="D28" s="226"/>
      <c r="E28" s="225"/>
      <c r="F28" s="225"/>
      <c r="G28" s="225"/>
      <c r="H28" s="273"/>
      <c r="I28" s="228"/>
      <c r="J28" s="276"/>
    </row>
    <row r="29" spans="1:10" s="11" customFormat="1" x14ac:dyDescent="0.25">
      <c r="D29" s="226"/>
      <c r="E29" s="225"/>
      <c r="F29" s="225"/>
      <c r="G29" s="225"/>
      <c r="H29" s="273"/>
      <c r="I29" s="228"/>
      <c r="J29" s="276"/>
    </row>
    <row r="30" spans="1:10" s="11" customFormat="1" x14ac:dyDescent="0.25">
      <c r="D30" s="226"/>
      <c r="E30" s="225"/>
      <c r="F30" s="225"/>
      <c r="G30" s="225"/>
      <c r="H30" s="273"/>
      <c r="I30" s="227"/>
      <c r="J30" s="276"/>
    </row>
    <row r="31" spans="1:10" s="11" customFormat="1" x14ac:dyDescent="0.25">
      <c r="D31" s="226"/>
      <c r="E31" s="225"/>
      <c r="F31" s="225"/>
      <c r="G31" s="225"/>
      <c r="H31" s="273"/>
      <c r="I31" s="227"/>
      <c r="J31" s="276"/>
    </row>
    <row r="32" spans="1:10" s="11" customFormat="1" x14ac:dyDescent="0.25">
      <c r="D32" s="226"/>
      <c r="E32" s="225"/>
      <c r="F32" s="225"/>
      <c r="G32" s="225"/>
      <c r="H32" s="273"/>
      <c r="I32" s="227"/>
      <c r="J32" s="276"/>
    </row>
    <row r="33" spans="4:10" s="11" customFormat="1" x14ac:dyDescent="0.25">
      <c r="D33" s="226"/>
      <c r="E33" s="225"/>
      <c r="F33" s="225"/>
      <c r="G33" s="225"/>
      <c r="H33" s="273"/>
      <c r="I33" s="227"/>
      <c r="J33" s="276"/>
    </row>
    <row r="34" spans="4:10" s="11" customFormat="1" x14ac:dyDescent="0.25">
      <c r="D34" s="226"/>
      <c r="E34" s="225"/>
      <c r="F34" s="225"/>
      <c r="G34" s="225"/>
      <c r="H34" s="273"/>
      <c r="I34" s="227"/>
      <c r="J34" s="276"/>
    </row>
    <row r="35" spans="4:10" s="11" customFormat="1" x14ac:dyDescent="0.25">
      <c r="D35" s="226"/>
      <c r="E35" s="225"/>
      <c r="F35" s="225"/>
      <c r="G35" s="225"/>
      <c r="H35" s="273"/>
      <c r="I35" s="227"/>
      <c r="J35" s="276"/>
    </row>
    <row r="36" spans="4:10" s="11" customFormat="1" x14ac:dyDescent="0.25">
      <c r="D36" s="226"/>
      <c r="E36" s="225"/>
      <c r="F36" s="225"/>
      <c r="G36" s="225"/>
      <c r="H36" s="273"/>
      <c r="I36" s="227"/>
      <c r="J36" s="276"/>
    </row>
    <row r="37" spans="4:10" s="11" customFormat="1" x14ac:dyDescent="0.25">
      <c r="D37" s="226"/>
      <c r="E37" s="225"/>
      <c r="F37" s="225"/>
      <c r="G37" s="225"/>
      <c r="H37" s="273"/>
      <c r="I37" s="227"/>
      <c r="J37" s="276"/>
    </row>
    <row r="38" spans="4:10" s="11" customFormat="1" x14ac:dyDescent="0.25">
      <c r="D38" s="226"/>
      <c r="E38" s="225"/>
      <c r="F38" s="225"/>
      <c r="G38" s="225"/>
      <c r="H38" s="273"/>
      <c r="I38" s="227"/>
      <c r="J38" s="276"/>
    </row>
    <row r="39" spans="4:10" s="11" customFormat="1" x14ac:dyDescent="0.25">
      <c r="D39" s="226"/>
      <c r="E39" s="225"/>
      <c r="F39" s="225"/>
      <c r="G39" s="225"/>
      <c r="H39" s="273"/>
      <c r="I39" s="227"/>
      <c r="J39" s="276"/>
    </row>
    <row r="40" spans="4:10" s="11" customFormat="1" x14ac:dyDescent="0.25">
      <c r="D40" s="226"/>
      <c r="E40" s="225"/>
      <c r="F40" s="225"/>
      <c r="G40" s="225"/>
      <c r="H40" s="273"/>
      <c r="I40" s="227"/>
      <c r="J40" s="276"/>
    </row>
    <row r="41" spans="4:10" s="11" customFormat="1" x14ac:dyDescent="0.25">
      <c r="D41" s="226"/>
      <c r="E41" s="225"/>
      <c r="F41" s="225"/>
      <c r="G41" s="225"/>
      <c r="H41" s="273"/>
      <c r="I41" s="227"/>
      <c r="J41" s="276"/>
    </row>
    <row r="42" spans="4:10" s="11" customFormat="1" x14ac:dyDescent="0.25">
      <c r="D42" s="226"/>
      <c r="E42" s="225"/>
      <c r="F42" s="225"/>
      <c r="G42" s="225"/>
      <c r="H42" s="273"/>
      <c r="I42" s="227"/>
      <c r="J42" s="276"/>
    </row>
    <row r="43" spans="4:10" s="11" customFormat="1" x14ac:dyDescent="0.25">
      <c r="D43" s="226"/>
      <c r="E43" s="225"/>
      <c r="F43" s="225"/>
      <c r="G43" s="225"/>
      <c r="H43" s="273"/>
      <c r="I43" s="227"/>
      <c r="J43" s="276"/>
    </row>
    <row r="44" spans="4:10" s="11" customFormat="1" x14ac:dyDescent="0.25">
      <c r="D44" s="226"/>
      <c r="E44" s="225"/>
      <c r="F44" s="225"/>
      <c r="G44" s="225"/>
      <c r="H44" s="273"/>
      <c r="I44" s="227"/>
      <c r="J44" s="276"/>
    </row>
    <row r="45" spans="4:10" s="11" customFormat="1" x14ac:dyDescent="0.25">
      <c r="D45" s="226"/>
      <c r="E45" s="225"/>
      <c r="F45" s="225"/>
      <c r="G45" s="225"/>
      <c r="H45" s="273"/>
      <c r="I45" s="227"/>
      <c r="J45" s="276"/>
    </row>
    <row r="46" spans="4:10" s="11" customFormat="1" x14ac:dyDescent="0.25">
      <c r="D46" s="226"/>
      <c r="E46" s="225"/>
      <c r="F46" s="225"/>
      <c r="G46" s="225"/>
      <c r="H46" s="273"/>
      <c r="I46" s="227"/>
      <c r="J46" s="276"/>
    </row>
    <row r="47" spans="4:10" s="11" customFormat="1" x14ac:dyDescent="0.25">
      <c r="D47" s="226"/>
      <c r="E47" s="225"/>
      <c r="F47" s="225"/>
      <c r="G47" s="225"/>
      <c r="H47" s="273"/>
      <c r="I47" s="227"/>
      <c r="J47" s="276"/>
    </row>
    <row r="48" spans="4:10" s="11" customFormat="1" x14ac:dyDescent="0.25">
      <c r="D48" s="226"/>
      <c r="E48" s="225"/>
      <c r="F48" s="225"/>
      <c r="G48" s="225"/>
      <c r="H48" s="273"/>
      <c r="I48" s="227"/>
      <c r="J48" s="276"/>
    </row>
    <row r="49" spans="4:10" s="11" customFormat="1" x14ac:dyDescent="0.25">
      <c r="D49" s="226"/>
      <c r="E49" s="225"/>
      <c r="F49" s="225"/>
      <c r="G49" s="225"/>
      <c r="H49" s="273"/>
      <c r="I49" s="227"/>
      <c r="J49" s="276"/>
    </row>
    <row r="50" spans="4:10" s="11" customFormat="1" x14ac:dyDescent="0.25">
      <c r="D50" s="226"/>
      <c r="E50" s="225"/>
      <c r="F50" s="225"/>
      <c r="G50" s="225"/>
      <c r="H50" s="273"/>
      <c r="I50" s="227"/>
      <c r="J50" s="276"/>
    </row>
    <row r="51" spans="4:10" s="11" customFormat="1" x14ac:dyDescent="0.25">
      <c r="D51" s="226"/>
      <c r="E51" s="225"/>
      <c r="F51" s="225"/>
      <c r="G51" s="225"/>
      <c r="H51" s="273"/>
      <c r="I51" s="227"/>
      <c r="J51" s="276"/>
    </row>
    <row r="52" spans="4:10" s="11" customFormat="1" x14ac:dyDescent="0.25">
      <c r="D52" s="226"/>
      <c r="E52" s="225"/>
      <c r="F52" s="225"/>
      <c r="G52" s="225"/>
      <c r="H52" s="273"/>
      <c r="I52" s="227"/>
      <c r="J52" s="276"/>
    </row>
    <row r="53" spans="4:10" s="11" customFormat="1" x14ac:dyDescent="0.25">
      <c r="D53" s="226"/>
      <c r="E53" s="225"/>
      <c r="F53" s="225"/>
      <c r="G53" s="225"/>
      <c r="H53" s="273"/>
      <c r="I53" s="227"/>
      <c r="J53" s="276"/>
    </row>
    <row r="54" spans="4:10" s="11" customFormat="1" x14ac:dyDescent="0.25">
      <c r="D54" s="226"/>
      <c r="E54" s="225"/>
      <c r="F54" s="225"/>
      <c r="G54" s="225"/>
      <c r="H54" s="273"/>
      <c r="I54" s="227"/>
      <c r="J54" s="276"/>
    </row>
    <row r="55" spans="4:10" s="11" customFormat="1" x14ac:dyDescent="0.25">
      <c r="D55" s="226"/>
      <c r="E55" s="225"/>
      <c r="F55" s="225"/>
      <c r="G55" s="225"/>
      <c r="H55" s="273"/>
      <c r="I55" s="227"/>
      <c r="J55" s="276"/>
    </row>
    <row r="56" spans="4:10" s="11" customFormat="1" x14ac:dyDescent="0.25">
      <c r="D56" s="226"/>
      <c r="E56" s="225"/>
      <c r="F56" s="225"/>
      <c r="G56" s="225"/>
      <c r="H56" s="273"/>
      <c r="I56" s="227"/>
      <c r="J56" s="276"/>
    </row>
    <row r="57" spans="4:10" s="11" customFormat="1" x14ac:dyDescent="0.25">
      <c r="D57" s="226"/>
      <c r="E57" s="225"/>
      <c r="F57" s="225"/>
      <c r="G57" s="225"/>
      <c r="H57" s="273"/>
      <c r="I57" s="227"/>
      <c r="J57" s="276"/>
    </row>
    <row r="58" spans="4:10" s="11" customFormat="1" x14ac:dyDescent="0.25">
      <c r="D58" s="226"/>
      <c r="E58" s="225"/>
      <c r="F58" s="225"/>
      <c r="G58" s="225"/>
      <c r="H58" s="273"/>
      <c r="I58" s="227"/>
      <c r="J58" s="276"/>
    </row>
    <row r="59" spans="4:10" s="11" customFormat="1" x14ac:dyDescent="0.25">
      <c r="D59" s="226"/>
      <c r="E59" s="225"/>
      <c r="F59" s="225"/>
      <c r="G59" s="225"/>
      <c r="H59" s="273"/>
      <c r="I59" s="227"/>
      <c r="J59" s="276"/>
    </row>
    <row r="60" spans="4:10" s="11" customFormat="1" x14ac:dyDescent="0.25">
      <c r="D60" s="226"/>
      <c r="E60" s="225"/>
      <c r="F60" s="225"/>
      <c r="G60" s="225"/>
      <c r="H60" s="273"/>
      <c r="I60" s="227"/>
      <c r="J60" s="276"/>
    </row>
    <row r="61" spans="4:10" s="11" customFormat="1" x14ac:dyDescent="0.25">
      <c r="D61" s="226"/>
      <c r="E61" s="225"/>
      <c r="F61" s="225"/>
      <c r="G61" s="225"/>
      <c r="H61" s="273"/>
      <c r="I61" s="227"/>
      <c r="J61" s="276"/>
    </row>
    <row r="62" spans="4:10" s="11" customFormat="1" x14ac:dyDescent="0.25">
      <c r="D62" s="226"/>
      <c r="E62" s="225"/>
      <c r="F62" s="225"/>
      <c r="G62" s="225"/>
      <c r="H62" s="273"/>
      <c r="I62" s="227"/>
      <c r="J62" s="276"/>
    </row>
    <row r="63" spans="4:10" s="11" customFormat="1" x14ac:dyDescent="0.25">
      <c r="D63" s="226"/>
      <c r="E63" s="225"/>
      <c r="F63" s="225"/>
      <c r="G63" s="225"/>
      <c r="H63" s="273"/>
      <c r="I63" s="227"/>
      <c r="J63" s="276"/>
    </row>
    <row r="64" spans="4:10" s="11" customFormat="1" x14ac:dyDescent="0.25">
      <c r="D64" s="226"/>
      <c r="E64" s="225"/>
      <c r="F64" s="225"/>
      <c r="G64" s="225"/>
      <c r="H64" s="273"/>
      <c r="I64" s="227"/>
      <c r="J64" s="276"/>
    </row>
    <row r="65" spans="4:10" s="11" customFormat="1" x14ac:dyDescent="0.25">
      <c r="D65" s="226"/>
      <c r="E65" s="225"/>
      <c r="F65" s="225"/>
      <c r="G65" s="225"/>
      <c r="H65" s="273"/>
      <c r="I65" s="227"/>
      <c r="J65" s="276"/>
    </row>
    <row r="66" spans="4:10" s="11" customFormat="1" x14ac:dyDescent="0.25">
      <c r="D66" s="223"/>
      <c r="E66" s="223"/>
      <c r="F66" s="223"/>
      <c r="G66" s="223"/>
      <c r="H66" s="274"/>
      <c r="I66" s="229"/>
      <c r="J66" s="275"/>
    </row>
    <row r="67" spans="4:10" s="11" customFormat="1" x14ac:dyDescent="0.25">
      <c r="E67" s="10"/>
      <c r="F67" s="10"/>
      <c r="G67" s="10"/>
      <c r="H67" s="10"/>
      <c r="J67" s="57"/>
    </row>
  </sheetData>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topLeftCell="C1" workbookViewId="0">
      <selection activeCell="C1" sqref="C1"/>
    </sheetView>
  </sheetViews>
  <sheetFormatPr defaultRowHeight="15" x14ac:dyDescent="0.25"/>
  <cols>
    <col min="2" max="2" width="15" customWidth="1"/>
    <col min="3" max="3" width="17.5703125" style="107" customWidth="1"/>
    <col min="4" max="4" width="38.5703125" customWidth="1"/>
    <col min="5" max="6" width="14.85546875" customWidth="1"/>
    <col min="7" max="7" width="11.42578125" customWidth="1"/>
    <col min="8" max="8" width="15" style="105" customWidth="1"/>
    <col min="9" max="9" width="24.42578125" customWidth="1"/>
    <col min="10" max="10" width="85" style="107" customWidth="1"/>
    <col min="12" max="12" width="11.5703125" bestFit="1" customWidth="1"/>
  </cols>
  <sheetData>
    <row r="1" spans="1:10" s="1" customFormat="1" ht="90" x14ac:dyDescent="0.25">
      <c r="A1" s="1" t="s">
        <v>0</v>
      </c>
      <c r="B1" s="1" t="s">
        <v>263</v>
      </c>
      <c r="C1" s="1" t="s">
        <v>264</v>
      </c>
      <c r="D1" s="1" t="s">
        <v>1</v>
      </c>
      <c r="E1" s="1" t="s">
        <v>5</v>
      </c>
      <c r="F1" s="1" t="s">
        <v>3</v>
      </c>
      <c r="G1" s="1" t="s">
        <v>2</v>
      </c>
      <c r="H1" s="48" t="s">
        <v>267</v>
      </c>
      <c r="I1" s="1" t="s">
        <v>4</v>
      </c>
      <c r="J1" s="1" t="s">
        <v>7</v>
      </c>
    </row>
    <row r="2" spans="1:10" s="142" customFormat="1" ht="30" x14ac:dyDescent="0.25">
      <c r="A2" s="254" t="s">
        <v>461</v>
      </c>
      <c r="B2" s="244" t="s">
        <v>685</v>
      </c>
      <c r="C2" s="236" t="s">
        <v>686</v>
      </c>
      <c r="D2" s="236" t="s">
        <v>687</v>
      </c>
      <c r="E2" s="245">
        <v>8970</v>
      </c>
      <c r="F2" s="246">
        <f t="shared" ref="F2:F22" si="0">E2/5280</f>
        <v>1.6988636363636365</v>
      </c>
      <c r="G2" s="142" t="s">
        <v>801</v>
      </c>
      <c r="H2" s="254"/>
      <c r="I2" s="236" t="s">
        <v>748</v>
      </c>
      <c r="J2" s="236" t="s">
        <v>749</v>
      </c>
    </row>
    <row r="3" spans="1:10" s="142" customFormat="1" ht="45" x14ac:dyDescent="0.25">
      <c r="A3" s="254" t="s">
        <v>461</v>
      </c>
      <c r="B3" s="244" t="s">
        <v>685</v>
      </c>
      <c r="C3" s="236" t="s">
        <v>802</v>
      </c>
      <c r="D3" s="236" t="s">
        <v>803</v>
      </c>
      <c r="E3" s="245">
        <v>1500</v>
      </c>
      <c r="F3" s="246">
        <f>E3/5280</f>
        <v>0.28409090909090912</v>
      </c>
      <c r="G3" s="142" t="s">
        <v>801</v>
      </c>
      <c r="H3" s="254"/>
      <c r="I3" s="236" t="s">
        <v>805</v>
      </c>
      <c r="J3" s="236" t="s">
        <v>804</v>
      </c>
    </row>
    <row r="4" spans="1:10" s="142" customFormat="1" ht="45" x14ac:dyDescent="0.25">
      <c r="A4" s="254" t="s">
        <v>461</v>
      </c>
      <c r="B4" s="244" t="s">
        <v>685</v>
      </c>
      <c r="C4" s="236" t="s">
        <v>2566</v>
      </c>
      <c r="D4" s="236" t="s">
        <v>688</v>
      </c>
      <c r="E4" s="245">
        <v>19774</v>
      </c>
      <c r="F4" s="246">
        <f t="shared" si="0"/>
        <v>3.7450757575757576</v>
      </c>
      <c r="G4" s="142" t="s">
        <v>801</v>
      </c>
      <c r="H4" s="254"/>
      <c r="I4" s="236" t="s">
        <v>750</v>
      </c>
      <c r="J4" s="236" t="s">
        <v>751</v>
      </c>
    </row>
    <row r="5" spans="1:10" s="142" customFormat="1" ht="45" x14ac:dyDescent="0.25">
      <c r="A5" s="254" t="s">
        <v>461</v>
      </c>
      <c r="B5" s="244" t="s">
        <v>685</v>
      </c>
      <c r="C5" s="236" t="s">
        <v>689</v>
      </c>
      <c r="D5" s="236" t="s">
        <v>690</v>
      </c>
      <c r="E5" s="245">
        <v>13552</v>
      </c>
      <c r="F5" s="246">
        <f t="shared" si="0"/>
        <v>2.5666666666666669</v>
      </c>
      <c r="G5" s="142" t="s">
        <v>801</v>
      </c>
      <c r="H5" s="254"/>
      <c r="I5" s="236" t="s">
        <v>752</v>
      </c>
      <c r="J5" s="236" t="s">
        <v>753</v>
      </c>
    </row>
    <row r="6" spans="1:10" s="142" customFormat="1" ht="60" x14ac:dyDescent="0.25">
      <c r="A6" s="254" t="s">
        <v>461</v>
      </c>
      <c r="B6" s="244" t="s">
        <v>685</v>
      </c>
      <c r="C6" s="236" t="s">
        <v>691</v>
      </c>
      <c r="D6" s="144" t="s">
        <v>692</v>
      </c>
      <c r="E6" s="139">
        <f>63390+11850</f>
        <v>75240</v>
      </c>
      <c r="F6" s="246">
        <f>1300/5280</f>
        <v>0.24621212121212122</v>
      </c>
      <c r="G6" s="142" t="s">
        <v>801</v>
      </c>
      <c r="H6" s="254"/>
      <c r="I6" s="144" t="s">
        <v>754</v>
      </c>
      <c r="J6" s="145" t="s">
        <v>872</v>
      </c>
    </row>
    <row r="7" spans="1:10" s="11" customFormat="1" ht="45" x14ac:dyDescent="0.25">
      <c r="A7" s="10" t="s">
        <v>461</v>
      </c>
      <c r="B7" s="78" t="s">
        <v>685</v>
      </c>
      <c r="C7" s="77" t="s">
        <v>806</v>
      </c>
      <c r="D7" s="57" t="s">
        <v>807</v>
      </c>
      <c r="E7" s="242">
        <v>52826</v>
      </c>
      <c r="F7" s="132">
        <f>E7/5280</f>
        <v>10.004924242424243</v>
      </c>
      <c r="G7" s="10" t="s">
        <v>810</v>
      </c>
      <c r="H7" s="10" t="s">
        <v>809</v>
      </c>
      <c r="I7" s="57" t="s">
        <v>811</v>
      </c>
      <c r="J7" s="114" t="s">
        <v>808</v>
      </c>
    </row>
    <row r="8" spans="1:10" s="11" customFormat="1" ht="120" x14ac:dyDescent="0.25">
      <c r="A8" s="10" t="s">
        <v>461</v>
      </c>
      <c r="B8" s="78" t="s">
        <v>685</v>
      </c>
      <c r="C8" s="77" t="s">
        <v>812</v>
      </c>
      <c r="D8" s="57" t="s">
        <v>813</v>
      </c>
      <c r="E8" s="255">
        <f>3*5280</f>
        <v>15840</v>
      </c>
      <c r="F8" s="132">
        <v>3</v>
      </c>
      <c r="G8" s="150" t="s">
        <v>814</v>
      </c>
      <c r="H8" s="10" t="s">
        <v>633</v>
      </c>
      <c r="I8" s="57" t="s">
        <v>815</v>
      </c>
      <c r="J8" s="114" t="s">
        <v>816</v>
      </c>
    </row>
    <row r="9" spans="1:10" ht="60" x14ac:dyDescent="0.25">
      <c r="A9" s="105" t="s">
        <v>461</v>
      </c>
      <c r="B9" s="78" t="s">
        <v>685</v>
      </c>
      <c r="C9" s="77" t="s">
        <v>693</v>
      </c>
      <c r="D9" s="77" t="s">
        <v>694</v>
      </c>
      <c r="E9" s="242">
        <v>11250</v>
      </c>
      <c r="F9" s="18">
        <f>8215/5280</f>
        <v>1.5558712121212122</v>
      </c>
      <c r="G9" s="10" t="s">
        <v>158</v>
      </c>
      <c r="H9" s="105">
        <v>2014</v>
      </c>
      <c r="I9" s="57" t="s">
        <v>755</v>
      </c>
      <c r="J9" s="114" t="s">
        <v>929</v>
      </c>
    </row>
    <row r="10" spans="1:10" s="104" customFormat="1" ht="75" x14ac:dyDescent="0.25">
      <c r="A10" s="105" t="s">
        <v>461</v>
      </c>
      <c r="B10" s="78" t="s">
        <v>685</v>
      </c>
      <c r="C10" s="107" t="s">
        <v>693</v>
      </c>
      <c r="D10" s="107" t="s">
        <v>817</v>
      </c>
      <c r="E10" s="16">
        <v>4800</v>
      </c>
      <c r="F10" s="132">
        <f>E10/5280</f>
        <v>0.90909090909090906</v>
      </c>
      <c r="G10" s="150" t="s">
        <v>158</v>
      </c>
      <c r="H10" s="105">
        <v>1997</v>
      </c>
      <c r="I10" s="57" t="s">
        <v>837</v>
      </c>
      <c r="J10" s="107" t="s">
        <v>821</v>
      </c>
    </row>
    <row r="11" spans="1:10" s="142" customFormat="1" ht="45" x14ac:dyDescent="0.25">
      <c r="A11" s="254" t="s">
        <v>461</v>
      </c>
      <c r="B11" s="244" t="s">
        <v>685</v>
      </c>
      <c r="C11" s="236" t="s">
        <v>695</v>
      </c>
      <c r="D11" s="236" t="s">
        <v>696</v>
      </c>
      <c r="E11" s="139" t="s">
        <v>697</v>
      </c>
      <c r="F11" s="140" t="s">
        <v>698</v>
      </c>
      <c r="G11" s="142" t="s">
        <v>154</v>
      </c>
      <c r="H11" s="254"/>
      <c r="I11" s="144" t="s">
        <v>756</v>
      </c>
      <c r="J11" s="145" t="s">
        <v>757</v>
      </c>
    </row>
    <row r="12" spans="1:10" s="11" customFormat="1" ht="75" x14ac:dyDescent="0.25">
      <c r="A12" s="10" t="s">
        <v>461</v>
      </c>
      <c r="B12" s="78" t="s">
        <v>685</v>
      </c>
      <c r="C12" s="107" t="s">
        <v>818</v>
      </c>
      <c r="D12" s="107" t="s">
        <v>819</v>
      </c>
      <c r="E12" s="16">
        <v>16368</v>
      </c>
      <c r="F12" s="132">
        <f>E12/5280</f>
        <v>3.1</v>
      </c>
      <c r="G12" s="10">
        <v>1986</v>
      </c>
      <c r="H12" s="10">
        <v>1999</v>
      </c>
      <c r="I12" s="57" t="s">
        <v>837</v>
      </c>
      <c r="J12" s="107" t="s">
        <v>822</v>
      </c>
    </row>
    <row r="13" spans="1:10" s="11" customFormat="1" ht="60" x14ac:dyDescent="0.25">
      <c r="A13" s="10" t="s">
        <v>461</v>
      </c>
      <c r="B13" s="78" t="s">
        <v>685</v>
      </c>
      <c r="C13" s="77" t="s">
        <v>699</v>
      </c>
      <c r="D13" s="77" t="s">
        <v>820</v>
      </c>
      <c r="E13" s="242">
        <v>1600</v>
      </c>
      <c r="F13" s="18">
        <v>0.3</v>
      </c>
      <c r="G13" s="10">
        <v>1963</v>
      </c>
      <c r="H13" s="10"/>
      <c r="I13" s="57" t="s">
        <v>823</v>
      </c>
      <c r="J13" s="114" t="s">
        <v>824</v>
      </c>
    </row>
    <row r="14" spans="1:10" s="142" customFormat="1" ht="60" x14ac:dyDescent="0.25">
      <c r="A14" s="254" t="s">
        <v>461</v>
      </c>
      <c r="B14" s="142" t="s">
        <v>685</v>
      </c>
      <c r="C14" s="144" t="s">
        <v>699</v>
      </c>
      <c r="D14" s="144" t="s">
        <v>700</v>
      </c>
      <c r="E14" s="139">
        <v>15500</v>
      </c>
      <c r="F14" s="140">
        <f>5980/5280</f>
        <v>1.1325757575757576</v>
      </c>
      <c r="G14" s="142" t="s">
        <v>801</v>
      </c>
      <c r="H14" s="254"/>
      <c r="I14" s="144" t="s">
        <v>758</v>
      </c>
      <c r="J14" s="144" t="s">
        <v>871</v>
      </c>
    </row>
    <row r="15" spans="1:10" s="11" customFormat="1" ht="30" x14ac:dyDescent="0.25">
      <c r="A15" s="105" t="s">
        <v>461</v>
      </c>
      <c r="B15" s="78" t="s">
        <v>685</v>
      </c>
      <c r="C15" s="77" t="s">
        <v>699</v>
      </c>
      <c r="D15" s="77" t="s">
        <v>825</v>
      </c>
      <c r="E15" s="247">
        <v>7920</v>
      </c>
      <c r="F15" s="18">
        <f t="shared" si="0"/>
        <v>1.5</v>
      </c>
      <c r="G15" s="10">
        <v>1966</v>
      </c>
      <c r="H15" s="10" t="s">
        <v>833</v>
      </c>
      <c r="I15" s="77" t="s">
        <v>293</v>
      </c>
      <c r="J15" s="77" t="s">
        <v>834</v>
      </c>
    </row>
    <row r="16" spans="1:10" s="11" customFormat="1" ht="75" x14ac:dyDescent="0.25">
      <c r="A16" s="105" t="s">
        <v>461</v>
      </c>
      <c r="B16" s="78" t="s">
        <v>685</v>
      </c>
      <c r="C16" s="77" t="s">
        <v>826</v>
      </c>
      <c r="D16" s="77" t="s">
        <v>827</v>
      </c>
      <c r="E16" s="242">
        <v>3000</v>
      </c>
      <c r="F16" s="18">
        <f t="shared" si="0"/>
        <v>0.56818181818181823</v>
      </c>
      <c r="G16" s="10">
        <v>2003</v>
      </c>
      <c r="H16" s="10"/>
      <c r="I16" s="77" t="s">
        <v>835</v>
      </c>
      <c r="J16" s="57" t="s">
        <v>836</v>
      </c>
    </row>
    <row r="17" spans="1:10" s="11" customFormat="1" ht="75" x14ac:dyDescent="0.25">
      <c r="A17" s="105" t="s">
        <v>461</v>
      </c>
      <c r="B17" s="78" t="s">
        <v>685</v>
      </c>
      <c r="C17" s="77" t="s">
        <v>2551</v>
      </c>
      <c r="D17" s="77" t="s">
        <v>828</v>
      </c>
      <c r="E17" s="247">
        <v>30888</v>
      </c>
      <c r="F17" s="27">
        <f>E17/5280-F16</f>
        <v>5.2818181818181813</v>
      </c>
      <c r="G17" s="10">
        <v>1986</v>
      </c>
      <c r="H17" s="10" t="s">
        <v>633</v>
      </c>
      <c r="I17" s="77" t="s">
        <v>837</v>
      </c>
      <c r="J17" s="77" t="s">
        <v>838</v>
      </c>
    </row>
    <row r="18" spans="1:10" s="11" customFormat="1" ht="75" x14ac:dyDescent="0.25">
      <c r="A18" s="105" t="s">
        <v>461</v>
      </c>
      <c r="B18" s="78" t="s">
        <v>829</v>
      </c>
      <c r="C18" s="77" t="s">
        <v>830</v>
      </c>
      <c r="D18" s="77" t="s">
        <v>831</v>
      </c>
      <c r="E18" s="247">
        <v>3000</v>
      </c>
      <c r="F18" s="18">
        <f t="shared" si="0"/>
        <v>0.56818181818181823</v>
      </c>
      <c r="G18" s="10">
        <v>1974</v>
      </c>
      <c r="H18" s="150" t="s">
        <v>2537</v>
      </c>
      <c r="I18" s="77" t="s">
        <v>837</v>
      </c>
      <c r="J18" s="77" t="s">
        <v>839</v>
      </c>
    </row>
    <row r="19" spans="1:10" s="11" customFormat="1" ht="60" x14ac:dyDescent="0.25">
      <c r="A19" s="105" t="s">
        <v>461</v>
      </c>
      <c r="B19" s="78" t="s">
        <v>829</v>
      </c>
      <c r="C19" s="77" t="s">
        <v>830</v>
      </c>
      <c r="D19" s="77" t="s">
        <v>832</v>
      </c>
      <c r="E19" s="247">
        <v>2000</v>
      </c>
      <c r="F19" s="18">
        <f t="shared" si="0"/>
        <v>0.37878787878787878</v>
      </c>
      <c r="G19" s="10">
        <v>1986</v>
      </c>
      <c r="H19" s="150" t="s">
        <v>933</v>
      </c>
      <c r="I19" s="77" t="s">
        <v>2536</v>
      </c>
      <c r="J19" s="77" t="s">
        <v>840</v>
      </c>
    </row>
    <row r="20" spans="1:10" s="11" customFormat="1" ht="60" x14ac:dyDescent="0.25">
      <c r="A20" s="105" t="s">
        <v>461</v>
      </c>
      <c r="B20" s="78" t="s">
        <v>701</v>
      </c>
      <c r="C20" s="77" t="s">
        <v>845</v>
      </c>
      <c r="D20" s="77" t="s">
        <v>847</v>
      </c>
      <c r="E20" s="247" t="s">
        <v>249</v>
      </c>
      <c r="F20" s="18" t="s">
        <v>249</v>
      </c>
      <c r="G20" s="10">
        <v>1939</v>
      </c>
      <c r="H20" s="10" t="s">
        <v>2538</v>
      </c>
      <c r="I20" s="77" t="s">
        <v>841</v>
      </c>
      <c r="J20" s="77" t="s">
        <v>842</v>
      </c>
    </row>
    <row r="21" spans="1:10" s="11" customFormat="1" ht="90" x14ac:dyDescent="0.25">
      <c r="A21" s="105" t="s">
        <v>461</v>
      </c>
      <c r="B21" s="78" t="s">
        <v>701</v>
      </c>
      <c r="C21" s="77" t="s">
        <v>845</v>
      </c>
      <c r="D21" s="77" t="s">
        <v>846</v>
      </c>
      <c r="E21" s="247">
        <f>5280+5280</f>
        <v>10560</v>
      </c>
      <c r="F21" s="18">
        <f>7480/5280</f>
        <v>1.4166666666666667</v>
      </c>
      <c r="G21" s="10">
        <v>1971</v>
      </c>
      <c r="H21" s="150" t="s">
        <v>844</v>
      </c>
      <c r="I21" s="77" t="s">
        <v>2536</v>
      </c>
      <c r="J21" s="77" t="s">
        <v>843</v>
      </c>
    </row>
    <row r="22" spans="1:10" ht="45" x14ac:dyDescent="0.25">
      <c r="A22" s="105" t="s">
        <v>461</v>
      </c>
      <c r="B22" s="78" t="s">
        <v>701</v>
      </c>
      <c r="C22" s="77" t="s">
        <v>702</v>
      </c>
      <c r="D22" s="57" t="s">
        <v>703</v>
      </c>
      <c r="E22" s="242">
        <v>7750</v>
      </c>
      <c r="F22" s="18">
        <f t="shared" si="0"/>
        <v>1.4678030303030303</v>
      </c>
      <c r="G22" s="10">
        <v>1961</v>
      </c>
      <c r="H22" s="10" t="s">
        <v>633</v>
      </c>
      <c r="I22" s="57" t="s">
        <v>759</v>
      </c>
      <c r="J22" s="57" t="s">
        <v>760</v>
      </c>
    </row>
    <row r="23" spans="1:10" s="104" customFormat="1" ht="60" x14ac:dyDescent="0.25">
      <c r="A23" s="105" t="s">
        <v>461</v>
      </c>
      <c r="B23" s="78" t="s">
        <v>701</v>
      </c>
      <c r="C23" s="77" t="s">
        <v>848</v>
      </c>
      <c r="D23" s="57" t="s">
        <v>849</v>
      </c>
      <c r="E23" s="242">
        <v>20000</v>
      </c>
      <c r="F23" s="18">
        <f>(E23-7750)/5280</f>
        <v>2.3200757575757578</v>
      </c>
      <c r="G23" s="10">
        <v>1988</v>
      </c>
      <c r="H23" s="10" t="s">
        <v>850</v>
      </c>
      <c r="I23" s="57" t="s">
        <v>759</v>
      </c>
      <c r="J23" s="57" t="s">
        <v>2539</v>
      </c>
    </row>
    <row r="24" spans="1:10" ht="30" x14ac:dyDescent="0.25">
      <c r="A24" s="105" t="s">
        <v>461</v>
      </c>
      <c r="B24" s="104" t="s">
        <v>701</v>
      </c>
      <c r="C24" s="107" t="s">
        <v>704</v>
      </c>
      <c r="D24" s="107" t="s">
        <v>705</v>
      </c>
      <c r="E24" s="256">
        <v>12672</v>
      </c>
      <c r="F24" s="258" t="s">
        <v>853</v>
      </c>
      <c r="G24" s="10">
        <v>2013</v>
      </c>
      <c r="I24" s="107" t="s">
        <v>756</v>
      </c>
      <c r="J24" s="107" t="s">
        <v>761</v>
      </c>
    </row>
    <row r="25" spans="1:10" s="104" customFormat="1" ht="45" x14ac:dyDescent="0.25">
      <c r="A25" s="105" t="s">
        <v>461</v>
      </c>
      <c r="B25" s="78" t="s">
        <v>701</v>
      </c>
      <c r="C25" s="77" t="s">
        <v>851</v>
      </c>
      <c r="D25" s="77" t="s">
        <v>852</v>
      </c>
      <c r="E25" s="242">
        <f>15600+21120</f>
        <v>36720</v>
      </c>
      <c r="F25" s="133" t="s">
        <v>853</v>
      </c>
      <c r="G25" s="10">
        <v>2004</v>
      </c>
      <c r="H25" s="105">
        <v>2007</v>
      </c>
      <c r="I25" s="57" t="s">
        <v>759</v>
      </c>
      <c r="J25" s="57" t="s">
        <v>854</v>
      </c>
    </row>
    <row r="26" spans="1:10" s="104" customFormat="1" ht="75" x14ac:dyDescent="0.25">
      <c r="A26" s="105" t="s">
        <v>461</v>
      </c>
      <c r="B26" s="78" t="s">
        <v>701</v>
      </c>
      <c r="C26" s="77" t="s">
        <v>2552</v>
      </c>
      <c r="D26" s="77" t="s">
        <v>855</v>
      </c>
      <c r="E26" s="242">
        <v>39008</v>
      </c>
      <c r="F26" s="18">
        <f t="shared" ref="F26:F27" si="1">E26/5280</f>
        <v>7.3878787878787877</v>
      </c>
      <c r="G26" s="10">
        <v>2002</v>
      </c>
      <c r="H26" s="38" t="s">
        <v>860</v>
      </c>
      <c r="I26" s="57" t="s">
        <v>759</v>
      </c>
      <c r="J26" s="57" t="s">
        <v>861</v>
      </c>
    </row>
    <row r="27" spans="1:10" s="104" customFormat="1" ht="75" x14ac:dyDescent="0.25">
      <c r="A27" s="105" t="s">
        <v>461</v>
      </c>
      <c r="B27" s="78" t="s">
        <v>701</v>
      </c>
      <c r="C27" s="77" t="s">
        <v>856</v>
      </c>
      <c r="D27" s="77" t="s">
        <v>857</v>
      </c>
      <c r="E27" s="242">
        <v>31111</v>
      </c>
      <c r="F27" s="18">
        <f t="shared" si="1"/>
        <v>5.8922348484848488</v>
      </c>
      <c r="G27" s="10">
        <v>2003</v>
      </c>
      <c r="H27" s="105" t="s">
        <v>859</v>
      </c>
      <c r="I27" s="57" t="s">
        <v>759</v>
      </c>
      <c r="J27" s="57" t="s">
        <v>858</v>
      </c>
    </row>
    <row r="28" spans="1:10" s="104" customFormat="1" ht="105" x14ac:dyDescent="0.25">
      <c r="A28" s="105" t="s">
        <v>461</v>
      </c>
      <c r="B28" s="78" t="s">
        <v>701</v>
      </c>
      <c r="C28" s="77" t="s">
        <v>862</v>
      </c>
      <c r="D28" s="77" t="s">
        <v>863</v>
      </c>
      <c r="E28" s="242">
        <v>23760</v>
      </c>
      <c r="F28" s="18">
        <f>(E28-1828)/5280</f>
        <v>4.1537878787878784</v>
      </c>
      <c r="G28" s="10">
        <v>2004</v>
      </c>
      <c r="H28" s="105" t="s">
        <v>865</v>
      </c>
      <c r="I28" s="57" t="s">
        <v>759</v>
      </c>
      <c r="J28" s="57" t="s">
        <v>864</v>
      </c>
    </row>
    <row r="29" spans="1:10" ht="30" x14ac:dyDescent="0.25">
      <c r="A29" s="105" t="s">
        <v>461</v>
      </c>
      <c r="B29" s="104" t="s">
        <v>701</v>
      </c>
      <c r="C29" s="107" t="s">
        <v>706</v>
      </c>
      <c r="D29" s="107" t="s">
        <v>705</v>
      </c>
      <c r="E29" s="256">
        <v>22176</v>
      </c>
      <c r="F29" s="133" t="s">
        <v>853</v>
      </c>
      <c r="G29" s="10">
        <v>2013</v>
      </c>
      <c r="I29" s="107" t="s">
        <v>756</v>
      </c>
      <c r="J29" s="107" t="s">
        <v>762</v>
      </c>
    </row>
    <row r="30" spans="1:10" s="142" customFormat="1" ht="75" x14ac:dyDescent="0.25">
      <c r="A30" s="254" t="s">
        <v>461</v>
      </c>
      <c r="B30" s="244" t="s">
        <v>701</v>
      </c>
      <c r="C30" s="236" t="s">
        <v>707</v>
      </c>
      <c r="D30" s="236" t="s">
        <v>708</v>
      </c>
      <c r="E30" s="245">
        <f>119670+1000+1000</f>
        <v>121670</v>
      </c>
      <c r="F30" s="140">
        <f>6670/5280</f>
        <v>1.2632575757575757</v>
      </c>
      <c r="G30" s="142" t="s">
        <v>154</v>
      </c>
      <c r="H30" s="254"/>
      <c r="I30" s="236" t="s">
        <v>756</v>
      </c>
      <c r="J30" s="236" t="s">
        <v>870</v>
      </c>
    </row>
    <row r="31" spans="1:10" s="11" customFormat="1" ht="45" x14ac:dyDescent="0.25">
      <c r="A31" s="10" t="s">
        <v>461</v>
      </c>
      <c r="B31" s="78" t="s">
        <v>701</v>
      </c>
      <c r="C31" s="77" t="s">
        <v>706</v>
      </c>
      <c r="D31" s="77" t="s">
        <v>867</v>
      </c>
      <c r="E31" s="242">
        <v>2000</v>
      </c>
      <c r="F31" s="18">
        <f t="shared" ref="F31" si="2">E31/5280</f>
        <v>0.37878787878787878</v>
      </c>
      <c r="G31" s="10">
        <v>1994</v>
      </c>
      <c r="H31" s="150" t="s">
        <v>869</v>
      </c>
      <c r="I31" s="57" t="s">
        <v>759</v>
      </c>
      <c r="J31" s="57" t="s">
        <v>868</v>
      </c>
    </row>
    <row r="32" spans="1:10" ht="75" x14ac:dyDescent="0.25">
      <c r="A32" s="105" t="s">
        <v>461</v>
      </c>
      <c r="B32" s="78" t="s">
        <v>701</v>
      </c>
      <c r="C32" s="77" t="s">
        <v>706</v>
      </c>
      <c r="D32" s="77" t="s">
        <v>709</v>
      </c>
      <c r="E32" s="247">
        <v>840</v>
      </c>
      <c r="F32" s="18">
        <f t="shared" ref="F32:F39" si="3">E32/5280</f>
        <v>0.15909090909090909</v>
      </c>
      <c r="G32" s="10">
        <v>2006</v>
      </c>
      <c r="H32" s="105" t="s">
        <v>866</v>
      </c>
      <c r="I32" s="77" t="s">
        <v>763</v>
      </c>
      <c r="J32" s="77" t="s">
        <v>764</v>
      </c>
    </row>
    <row r="33" spans="1:10" s="142" customFormat="1" ht="105" x14ac:dyDescent="0.25">
      <c r="A33" s="254" t="s">
        <v>461</v>
      </c>
      <c r="B33" s="244" t="s">
        <v>701</v>
      </c>
      <c r="C33" s="236" t="s">
        <v>706</v>
      </c>
      <c r="D33" s="236" t="s">
        <v>2565</v>
      </c>
      <c r="E33" s="245">
        <v>32700</v>
      </c>
      <c r="F33" s="140">
        <f>3690/5280</f>
        <v>0.69886363636363635</v>
      </c>
      <c r="G33" s="142" t="s">
        <v>154</v>
      </c>
      <c r="H33" s="254"/>
      <c r="I33" s="236" t="s">
        <v>765</v>
      </c>
      <c r="J33" s="236" t="s">
        <v>873</v>
      </c>
    </row>
    <row r="34" spans="1:10" s="11" customFormat="1" ht="30" x14ac:dyDescent="0.25">
      <c r="A34" s="10" t="s">
        <v>461</v>
      </c>
      <c r="B34" s="78" t="s">
        <v>710</v>
      </c>
      <c r="C34" s="77" t="s">
        <v>885</v>
      </c>
      <c r="D34" s="77" t="s">
        <v>886</v>
      </c>
      <c r="E34" s="247">
        <v>5280</v>
      </c>
      <c r="F34" s="18">
        <f>E34/5280</f>
        <v>1</v>
      </c>
      <c r="G34" s="10" t="s">
        <v>932</v>
      </c>
      <c r="H34" s="10" t="s">
        <v>633</v>
      </c>
      <c r="I34" s="77" t="s">
        <v>756</v>
      </c>
      <c r="J34" s="77" t="s">
        <v>887</v>
      </c>
    </row>
    <row r="35" spans="1:10" s="11" customFormat="1" ht="75" x14ac:dyDescent="0.25">
      <c r="A35" s="10" t="s">
        <v>461</v>
      </c>
      <c r="B35" s="78" t="s">
        <v>710</v>
      </c>
      <c r="C35" s="77" t="s">
        <v>711</v>
      </c>
      <c r="D35" s="77" t="s">
        <v>880</v>
      </c>
      <c r="E35" s="242">
        <v>4000</v>
      </c>
      <c r="F35" s="27">
        <f t="shared" ref="F35" si="4">E35/5280</f>
        <v>0.75757575757575757</v>
      </c>
      <c r="G35" s="10">
        <v>1982</v>
      </c>
      <c r="H35" s="150" t="s">
        <v>633</v>
      </c>
      <c r="I35" s="57" t="s">
        <v>881</v>
      </c>
      <c r="J35" s="77" t="s">
        <v>882</v>
      </c>
    </row>
    <row r="36" spans="1:10" s="142" customFormat="1" ht="75" x14ac:dyDescent="0.25">
      <c r="A36" s="254" t="s">
        <v>461</v>
      </c>
      <c r="B36" s="244" t="s">
        <v>710</v>
      </c>
      <c r="C36" s="236" t="s">
        <v>711</v>
      </c>
      <c r="D36" s="151" t="s">
        <v>712</v>
      </c>
      <c r="E36" s="139">
        <v>13200</v>
      </c>
      <c r="F36" s="140">
        <f>5465/5280</f>
        <v>1.0350378787878789</v>
      </c>
      <c r="G36" s="254">
        <v>2016</v>
      </c>
      <c r="H36" s="254"/>
      <c r="I36" s="144" t="s">
        <v>766</v>
      </c>
      <c r="J36" s="144" t="s">
        <v>874</v>
      </c>
    </row>
    <row r="37" spans="1:10" ht="60" x14ac:dyDescent="0.25">
      <c r="A37" s="105" t="s">
        <v>461</v>
      </c>
      <c r="B37" s="104" t="s">
        <v>710</v>
      </c>
      <c r="C37" s="107" t="s">
        <v>711</v>
      </c>
      <c r="D37" s="112" t="s">
        <v>713</v>
      </c>
      <c r="E37" s="16">
        <v>7735</v>
      </c>
      <c r="F37" s="72">
        <f>3735/5280</f>
        <v>0.70738636363636365</v>
      </c>
      <c r="G37" s="38" t="s">
        <v>875</v>
      </c>
      <c r="I37" s="107" t="s">
        <v>767</v>
      </c>
      <c r="J37" s="107" t="s">
        <v>876</v>
      </c>
    </row>
    <row r="38" spans="1:10" s="142" customFormat="1" ht="75" x14ac:dyDescent="0.25">
      <c r="A38" s="254" t="s">
        <v>461</v>
      </c>
      <c r="B38" s="142" t="s">
        <v>710</v>
      </c>
      <c r="C38" s="144" t="s">
        <v>711</v>
      </c>
      <c r="D38" s="151" t="s">
        <v>714</v>
      </c>
      <c r="E38" s="139">
        <v>10120</v>
      </c>
      <c r="F38" s="140">
        <f>6670/5280</f>
        <v>1.2632575757575757</v>
      </c>
      <c r="G38" s="142" t="s">
        <v>154</v>
      </c>
      <c r="H38" s="254"/>
      <c r="I38" s="144" t="s">
        <v>768</v>
      </c>
      <c r="J38" s="144" t="s">
        <v>877</v>
      </c>
    </row>
    <row r="39" spans="1:10" s="142" customFormat="1" ht="60" x14ac:dyDescent="0.25">
      <c r="A39" s="254" t="s">
        <v>461</v>
      </c>
      <c r="B39" s="142" t="s">
        <v>710</v>
      </c>
      <c r="C39" s="144" t="s">
        <v>711</v>
      </c>
      <c r="D39" s="151" t="s">
        <v>715</v>
      </c>
      <c r="E39" s="139">
        <v>6880</v>
      </c>
      <c r="F39" s="140">
        <f t="shared" si="3"/>
        <v>1.303030303030303</v>
      </c>
      <c r="G39" s="142" t="s">
        <v>154</v>
      </c>
      <c r="H39" s="254"/>
      <c r="I39" s="144" t="s">
        <v>768</v>
      </c>
      <c r="J39" s="144" t="s">
        <v>769</v>
      </c>
    </row>
    <row r="40" spans="1:10" s="142" customFormat="1" ht="45" x14ac:dyDescent="0.25">
      <c r="A40" s="254" t="s">
        <v>461</v>
      </c>
      <c r="B40" s="142" t="s">
        <v>710</v>
      </c>
      <c r="C40" s="144" t="s">
        <v>711</v>
      </c>
      <c r="D40" s="151" t="s">
        <v>716</v>
      </c>
      <c r="E40" s="139">
        <v>11500</v>
      </c>
      <c r="F40" s="140">
        <f>E40/5280</f>
        <v>2.1780303030303032</v>
      </c>
      <c r="G40" s="142" t="s">
        <v>154</v>
      </c>
      <c r="H40" s="254"/>
      <c r="I40" s="144" t="s">
        <v>770</v>
      </c>
      <c r="J40" s="144" t="s">
        <v>771</v>
      </c>
    </row>
    <row r="41" spans="1:10" s="142" customFormat="1" ht="30" x14ac:dyDescent="0.25">
      <c r="A41" s="254" t="s">
        <v>461</v>
      </c>
      <c r="B41" s="142" t="s">
        <v>710</v>
      </c>
      <c r="C41" s="144" t="s">
        <v>711</v>
      </c>
      <c r="D41" s="151" t="s">
        <v>2567</v>
      </c>
      <c r="E41" s="139">
        <v>1840</v>
      </c>
      <c r="F41" s="140">
        <f>E41/5280</f>
        <v>0.34848484848484851</v>
      </c>
      <c r="G41" s="142" t="s">
        <v>154</v>
      </c>
      <c r="H41" s="254"/>
      <c r="I41" s="144" t="s">
        <v>2568</v>
      </c>
      <c r="J41" s="144" t="s">
        <v>2569</v>
      </c>
    </row>
    <row r="42" spans="1:10" ht="45" x14ac:dyDescent="0.25">
      <c r="A42" s="105" t="s">
        <v>461</v>
      </c>
      <c r="B42" s="78" t="s">
        <v>710</v>
      </c>
      <c r="C42" s="77" t="s">
        <v>711</v>
      </c>
      <c r="D42" s="112" t="s">
        <v>717</v>
      </c>
      <c r="E42" s="16">
        <v>18480</v>
      </c>
      <c r="F42" s="72">
        <f t="shared" ref="F42:F62" si="5">E42/5280</f>
        <v>3.5</v>
      </c>
      <c r="G42" s="10" t="s">
        <v>878</v>
      </c>
      <c r="I42" s="57" t="s">
        <v>772</v>
      </c>
      <c r="J42" s="57" t="s">
        <v>773</v>
      </c>
    </row>
    <row r="43" spans="1:10" s="142" customFormat="1" ht="90" x14ac:dyDescent="0.25">
      <c r="A43" s="254" t="s">
        <v>461</v>
      </c>
      <c r="B43" s="142" t="s">
        <v>710</v>
      </c>
      <c r="C43" s="144" t="s">
        <v>718</v>
      </c>
      <c r="D43" s="151" t="s">
        <v>719</v>
      </c>
      <c r="E43" s="139">
        <v>52150</v>
      </c>
      <c r="F43" s="248">
        <f>32860/5280</f>
        <v>6.2234848484848486</v>
      </c>
      <c r="G43" s="142" t="s">
        <v>154</v>
      </c>
      <c r="H43" s="254"/>
      <c r="I43" s="144" t="s">
        <v>774</v>
      </c>
      <c r="J43" s="144" t="s">
        <v>879</v>
      </c>
    </row>
    <row r="44" spans="1:10" ht="90" x14ac:dyDescent="0.25">
      <c r="A44" s="105" t="s">
        <v>461</v>
      </c>
      <c r="B44" s="104" t="s">
        <v>710</v>
      </c>
      <c r="C44" s="107" t="s">
        <v>2553</v>
      </c>
      <c r="D44" s="57" t="s">
        <v>721</v>
      </c>
      <c r="E44" s="16">
        <v>24700</v>
      </c>
      <c r="F44" s="72">
        <f t="shared" si="5"/>
        <v>4.6780303030303028</v>
      </c>
      <c r="G44" s="10" t="s">
        <v>809</v>
      </c>
      <c r="H44" s="105" t="s">
        <v>537</v>
      </c>
      <c r="I44" s="107" t="s">
        <v>775</v>
      </c>
      <c r="J44" s="107" t="s">
        <v>776</v>
      </c>
    </row>
    <row r="45" spans="1:10" s="104" customFormat="1" ht="60" x14ac:dyDescent="0.25">
      <c r="A45" s="105" t="s">
        <v>461</v>
      </c>
      <c r="B45" s="78" t="s">
        <v>883</v>
      </c>
      <c r="C45" s="78" t="s">
        <v>720</v>
      </c>
      <c r="D45" s="77" t="s">
        <v>884</v>
      </c>
      <c r="E45" s="242">
        <v>2000</v>
      </c>
      <c r="F45" s="27">
        <f>1020/5280</f>
        <v>0.19318181818181818</v>
      </c>
      <c r="G45" s="10">
        <v>1982</v>
      </c>
      <c r="H45" s="105" t="s">
        <v>633</v>
      </c>
      <c r="I45" s="57" t="s">
        <v>2540</v>
      </c>
      <c r="J45" s="77" t="s">
        <v>888</v>
      </c>
    </row>
    <row r="46" spans="1:10" s="142" customFormat="1" ht="75" x14ac:dyDescent="0.25">
      <c r="A46" s="254" t="s">
        <v>461</v>
      </c>
      <c r="B46" s="142" t="s">
        <v>710</v>
      </c>
      <c r="C46" s="144" t="s">
        <v>720</v>
      </c>
      <c r="D46" s="144" t="s">
        <v>2564</v>
      </c>
      <c r="E46" s="139">
        <v>23900</v>
      </c>
      <c r="F46" s="146" t="s">
        <v>853</v>
      </c>
      <c r="G46" s="142" t="s">
        <v>154</v>
      </c>
      <c r="H46" s="254"/>
      <c r="I46" s="144" t="s">
        <v>765</v>
      </c>
      <c r="J46" s="144" t="s">
        <v>777</v>
      </c>
    </row>
    <row r="47" spans="1:10" s="142" customFormat="1" ht="45" x14ac:dyDescent="0.25">
      <c r="A47" s="254" t="s">
        <v>461</v>
      </c>
      <c r="B47" s="244" t="s">
        <v>710</v>
      </c>
      <c r="C47" s="236" t="s">
        <v>720</v>
      </c>
      <c r="D47" s="144" t="s">
        <v>722</v>
      </c>
      <c r="E47" s="139">
        <f>1000+23200+2000</f>
        <v>26200</v>
      </c>
      <c r="F47" s="240" t="s">
        <v>853</v>
      </c>
      <c r="G47" s="142" t="s">
        <v>154</v>
      </c>
      <c r="H47" s="254"/>
      <c r="I47" s="144" t="s">
        <v>778</v>
      </c>
      <c r="J47" s="144" t="s">
        <v>779</v>
      </c>
    </row>
    <row r="48" spans="1:10" s="142" customFormat="1" ht="60" x14ac:dyDescent="0.25">
      <c r="A48" s="254" t="s">
        <v>461</v>
      </c>
      <c r="B48" s="244" t="s">
        <v>723</v>
      </c>
      <c r="C48" s="236" t="s">
        <v>724</v>
      </c>
      <c r="D48" s="144" t="s">
        <v>725</v>
      </c>
      <c r="E48" s="139">
        <v>4500</v>
      </c>
      <c r="F48" s="140">
        <f>790/5280</f>
        <v>0.14962121212121213</v>
      </c>
      <c r="G48" s="142" t="s">
        <v>154</v>
      </c>
      <c r="H48" s="254"/>
      <c r="I48" s="144" t="s">
        <v>780</v>
      </c>
      <c r="J48" s="144" t="s">
        <v>889</v>
      </c>
    </row>
    <row r="49" spans="1:10" s="11" customFormat="1" ht="45" x14ac:dyDescent="0.25">
      <c r="A49" s="10" t="s">
        <v>461</v>
      </c>
      <c r="B49" s="78" t="s">
        <v>723</v>
      </c>
      <c r="C49" s="77" t="s">
        <v>724</v>
      </c>
      <c r="D49" s="77" t="s">
        <v>891</v>
      </c>
      <c r="E49" s="249">
        <v>9500</v>
      </c>
      <c r="F49" s="18">
        <f>E49/5280</f>
        <v>1.7992424242424243</v>
      </c>
      <c r="G49" s="10">
        <v>1983</v>
      </c>
      <c r="H49" s="150" t="s">
        <v>892</v>
      </c>
      <c r="I49" s="57" t="s">
        <v>893</v>
      </c>
      <c r="J49" s="57" t="s">
        <v>894</v>
      </c>
    </row>
    <row r="50" spans="1:10" ht="45" x14ac:dyDescent="0.25">
      <c r="A50" s="105" t="s">
        <v>461</v>
      </c>
      <c r="B50" s="78" t="s">
        <v>723</v>
      </c>
      <c r="C50" s="77" t="s">
        <v>724</v>
      </c>
      <c r="D50" s="57" t="s">
        <v>726</v>
      </c>
      <c r="E50" s="249">
        <v>10000</v>
      </c>
      <c r="F50" s="27">
        <f t="shared" si="5"/>
        <v>1.893939393939394</v>
      </c>
      <c r="G50" s="105">
        <v>2002</v>
      </c>
      <c r="H50" s="38" t="s">
        <v>890</v>
      </c>
      <c r="I50" s="57" t="s">
        <v>781</v>
      </c>
      <c r="J50" s="57" t="s">
        <v>782</v>
      </c>
    </row>
    <row r="51" spans="1:10" s="104" customFormat="1" ht="60" x14ac:dyDescent="0.25">
      <c r="A51" s="105" t="s">
        <v>461</v>
      </c>
      <c r="B51" s="78" t="s">
        <v>723</v>
      </c>
      <c r="C51" s="77" t="s">
        <v>724</v>
      </c>
      <c r="D51" s="77" t="s">
        <v>897</v>
      </c>
      <c r="E51" s="249">
        <v>10000</v>
      </c>
      <c r="F51" s="241" t="s">
        <v>853</v>
      </c>
      <c r="G51" s="105">
        <v>1985</v>
      </c>
      <c r="H51" s="150" t="s">
        <v>896</v>
      </c>
      <c r="I51" s="57" t="s">
        <v>893</v>
      </c>
      <c r="J51" s="57" t="s">
        <v>895</v>
      </c>
    </row>
    <row r="52" spans="1:10" s="142" customFormat="1" ht="90" x14ac:dyDescent="0.25">
      <c r="A52" s="254" t="s">
        <v>461</v>
      </c>
      <c r="B52" s="244" t="s">
        <v>723</v>
      </c>
      <c r="C52" s="236" t="s">
        <v>727</v>
      </c>
      <c r="D52" s="144" t="s">
        <v>2556</v>
      </c>
      <c r="E52" s="250">
        <v>10000</v>
      </c>
      <c r="F52" s="248">
        <f>4310/5280</f>
        <v>0.81628787878787878</v>
      </c>
      <c r="G52" s="142" t="s">
        <v>154</v>
      </c>
      <c r="H52" s="254"/>
      <c r="I52" s="144" t="s">
        <v>783</v>
      </c>
      <c r="J52" s="144" t="s">
        <v>784</v>
      </c>
    </row>
    <row r="53" spans="1:10" s="11" customFormat="1" ht="30" x14ac:dyDescent="0.25">
      <c r="A53" s="10" t="s">
        <v>461</v>
      </c>
      <c r="B53" s="78" t="s">
        <v>723</v>
      </c>
      <c r="C53" s="77" t="s">
        <v>727</v>
      </c>
      <c r="D53" s="57" t="s">
        <v>2554</v>
      </c>
      <c r="E53" s="249">
        <v>2800</v>
      </c>
      <c r="F53" s="27">
        <f t="shared" si="5"/>
        <v>0.53030303030303028</v>
      </c>
      <c r="G53" s="10">
        <v>2002</v>
      </c>
      <c r="H53" s="10"/>
      <c r="I53" s="57" t="s">
        <v>783</v>
      </c>
      <c r="J53" s="57" t="s">
        <v>2555</v>
      </c>
    </row>
    <row r="54" spans="1:10" ht="45" x14ac:dyDescent="0.25">
      <c r="A54" s="105" t="s">
        <v>461</v>
      </c>
      <c r="B54" s="78" t="s">
        <v>723</v>
      </c>
      <c r="C54" s="77" t="s">
        <v>727</v>
      </c>
      <c r="D54" s="57" t="s">
        <v>728</v>
      </c>
      <c r="E54" s="249">
        <v>16200</v>
      </c>
      <c r="F54" s="27">
        <f t="shared" si="5"/>
        <v>3.0681818181818183</v>
      </c>
      <c r="G54" s="10">
        <v>1939</v>
      </c>
      <c r="H54" s="150" t="s">
        <v>930</v>
      </c>
      <c r="I54" s="57" t="s">
        <v>785</v>
      </c>
      <c r="J54" s="57" t="s">
        <v>786</v>
      </c>
    </row>
    <row r="55" spans="1:10" s="104" customFormat="1" ht="45" x14ac:dyDescent="0.25">
      <c r="A55" s="105" t="s">
        <v>461</v>
      </c>
      <c r="B55" s="78" t="s">
        <v>723</v>
      </c>
      <c r="C55" s="78" t="s">
        <v>898</v>
      </c>
      <c r="D55" s="57" t="s">
        <v>899</v>
      </c>
      <c r="E55" s="249">
        <v>2800</v>
      </c>
      <c r="F55" s="27">
        <f t="shared" si="5"/>
        <v>0.53030303030303028</v>
      </c>
      <c r="G55" s="105">
        <v>1959</v>
      </c>
      <c r="H55" s="105"/>
      <c r="I55" s="57" t="s">
        <v>902</v>
      </c>
      <c r="J55" s="57" t="s">
        <v>903</v>
      </c>
    </row>
    <row r="56" spans="1:10" s="104" customFormat="1" ht="60" x14ac:dyDescent="0.25">
      <c r="A56" s="105" t="s">
        <v>461</v>
      </c>
      <c r="B56" s="78" t="s">
        <v>723</v>
      </c>
      <c r="C56" s="78" t="s">
        <v>898</v>
      </c>
      <c r="D56" s="57" t="s">
        <v>900</v>
      </c>
      <c r="E56" s="249">
        <v>6000</v>
      </c>
      <c r="F56" s="27">
        <f t="shared" si="5"/>
        <v>1.1363636363636365</v>
      </c>
      <c r="G56" s="105">
        <v>1986</v>
      </c>
      <c r="H56" s="105">
        <v>1994</v>
      </c>
      <c r="I56" s="57" t="s">
        <v>759</v>
      </c>
      <c r="J56" s="57" t="s">
        <v>904</v>
      </c>
    </row>
    <row r="57" spans="1:10" s="104" customFormat="1" ht="60" x14ac:dyDescent="0.25">
      <c r="A57" s="105" t="s">
        <v>461</v>
      </c>
      <c r="B57" s="78" t="s">
        <v>723</v>
      </c>
      <c r="C57" s="78" t="s">
        <v>898</v>
      </c>
      <c r="D57" s="57" t="s">
        <v>901</v>
      </c>
      <c r="E57" s="249">
        <v>7000</v>
      </c>
      <c r="F57" s="27">
        <f t="shared" si="5"/>
        <v>1.3257575757575757</v>
      </c>
      <c r="G57" s="10" t="s">
        <v>2542</v>
      </c>
      <c r="H57" s="150" t="s">
        <v>2541</v>
      </c>
      <c r="I57" s="57" t="s">
        <v>756</v>
      </c>
      <c r="J57" s="57" t="s">
        <v>905</v>
      </c>
    </row>
    <row r="58" spans="1:10" s="104" customFormat="1" ht="90" x14ac:dyDescent="0.25">
      <c r="A58" s="105" t="s">
        <v>461</v>
      </c>
      <c r="B58" s="78" t="s">
        <v>723</v>
      </c>
      <c r="C58" s="78" t="s">
        <v>729</v>
      </c>
      <c r="D58" s="57" t="s">
        <v>906</v>
      </c>
      <c r="E58" s="249" t="s">
        <v>249</v>
      </c>
      <c r="F58" s="27" t="s">
        <v>249</v>
      </c>
      <c r="G58" s="10" t="s">
        <v>2545</v>
      </c>
      <c r="H58" s="150" t="s">
        <v>2544</v>
      </c>
      <c r="I58" s="57" t="s">
        <v>2543</v>
      </c>
      <c r="J58" s="57" t="s">
        <v>907</v>
      </c>
    </row>
    <row r="59" spans="1:10" s="142" customFormat="1" ht="75" x14ac:dyDescent="0.25">
      <c r="A59" s="254" t="s">
        <v>461</v>
      </c>
      <c r="B59" s="244" t="s">
        <v>723</v>
      </c>
      <c r="C59" s="236" t="s">
        <v>729</v>
      </c>
      <c r="D59" s="144" t="s">
        <v>2563</v>
      </c>
      <c r="E59" s="250">
        <v>4900</v>
      </c>
      <c r="F59" s="248">
        <f>E59/5280</f>
        <v>0.92803030303030298</v>
      </c>
      <c r="G59" s="142" t="s">
        <v>154</v>
      </c>
      <c r="H59" s="254"/>
      <c r="I59" s="144" t="s">
        <v>765</v>
      </c>
      <c r="J59" s="144" t="s">
        <v>787</v>
      </c>
    </row>
    <row r="60" spans="1:10" ht="60" x14ac:dyDescent="0.25">
      <c r="A60" s="105" t="s">
        <v>461</v>
      </c>
      <c r="B60" s="78" t="s">
        <v>723</v>
      </c>
      <c r="C60" s="77" t="s">
        <v>729</v>
      </c>
      <c r="D60" s="57" t="s">
        <v>730</v>
      </c>
      <c r="E60" s="249">
        <v>12750</v>
      </c>
      <c r="F60" s="27">
        <f t="shared" si="5"/>
        <v>2.4147727272727271</v>
      </c>
      <c r="G60" s="10">
        <v>1955</v>
      </c>
      <c r="H60" s="150" t="s">
        <v>930</v>
      </c>
      <c r="I60" s="57" t="s">
        <v>788</v>
      </c>
      <c r="J60" s="57" t="s">
        <v>789</v>
      </c>
    </row>
    <row r="61" spans="1:10" ht="60" x14ac:dyDescent="0.25">
      <c r="A61" s="105" t="s">
        <v>461</v>
      </c>
      <c r="B61" s="78" t="s">
        <v>723</v>
      </c>
      <c r="C61" s="77" t="s">
        <v>731</v>
      </c>
      <c r="D61" s="57" t="s">
        <v>732</v>
      </c>
      <c r="E61" s="249">
        <v>18000</v>
      </c>
      <c r="F61" s="27">
        <f t="shared" si="5"/>
        <v>3.4090909090909092</v>
      </c>
      <c r="G61" s="10">
        <v>1997</v>
      </c>
      <c r="H61" s="150" t="s">
        <v>931</v>
      </c>
      <c r="I61" s="57" t="s">
        <v>788</v>
      </c>
      <c r="J61" s="57" t="s">
        <v>790</v>
      </c>
    </row>
    <row r="62" spans="1:10" ht="90" x14ac:dyDescent="0.25">
      <c r="A62" s="105" t="s">
        <v>461</v>
      </c>
      <c r="B62" s="78" t="s">
        <v>733</v>
      </c>
      <c r="C62" s="77" t="s">
        <v>734</v>
      </c>
      <c r="D62" s="57" t="s">
        <v>917</v>
      </c>
      <c r="E62" s="249">
        <v>19750</v>
      </c>
      <c r="F62" s="27">
        <f t="shared" si="5"/>
        <v>3.7405303030303032</v>
      </c>
      <c r="G62" s="105">
        <v>1991</v>
      </c>
      <c r="H62" s="38" t="s">
        <v>916</v>
      </c>
      <c r="I62" s="57" t="s">
        <v>791</v>
      </c>
      <c r="J62" s="57" t="s">
        <v>918</v>
      </c>
    </row>
    <row r="63" spans="1:10" ht="30" x14ac:dyDescent="0.25">
      <c r="A63" s="105" t="s">
        <v>461</v>
      </c>
      <c r="B63" s="78" t="s">
        <v>733</v>
      </c>
      <c r="C63" s="77" t="s">
        <v>734</v>
      </c>
      <c r="D63" s="57" t="s">
        <v>735</v>
      </c>
      <c r="E63" s="249">
        <v>2500</v>
      </c>
      <c r="F63" s="241" t="s">
        <v>853</v>
      </c>
      <c r="G63" s="105" t="s">
        <v>908</v>
      </c>
      <c r="I63" s="57" t="s">
        <v>792</v>
      </c>
      <c r="J63" s="57" t="s">
        <v>793</v>
      </c>
    </row>
    <row r="64" spans="1:10" s="142" customFormat="1" ht="60" x14ac:dyDescent="0.25">
      <c r="A64" s="254" t="s">
        <v>461</v>
      </c>
      <c r="B64" s="244" t="s">
        <v>733</v>
      </c>
      <c r="C64" s="236" t="s">
        <v>736</v>
      </c>
      <c r="D64" s="144" t="s">
        <v>737</v>
      </c>
      <c r="E64" s="250" t="s">
        <v>738</v>
      </c>
      <c r="F64" s="248" t="s">
        <v>909</v>
      </c>
      <c r="G64" s="142" t="s">
        <v>154</v>
      </c>
      <c r="H64" s="254"/>
      <c r="I64" s="144" t="s">
        <v>756</v>
      </c>
      <c r="J64" s="144" t="s">
        <v>910</v>
      </c>
    </row>
    <row r="65" spans="1:10" s="11" customFormat="1" ht="60" x14ac:dyDescent="0.25">
      <c r="A65" s="105" t="s">
        <v>461</v>
      </c>
      <c r="B65" s="78" t="s">
        <v>733</v>
      </c>
      <c r="C65" s="77" t="s">
        <v>913</v>
      </c>
      <c r="D65" s="83" t="s">
        <v>2557</v>
      </c>
      <c r="E65" s="249">
        <v>25000</v>
      </c>
      <c r="F65" s="27">
        <f>23240/5280</f>
        <v>4.4015151515151514</v>
      </c>
      <c r="G65" s="10" t="s">
        <v>447</v>
      </c>
      <c r="H65" s="10">
        <v>2009</v>
      </c>
      <c r="I65" s="57" t="s">
        <v>915</v>
      </c>
      <c r="J65" s="57" t="s">
        <v>920</v>
      </c>
    </row>
    <row r="66" spans="1:10" s="11" customFormat="1" ht="45" x14ac:dyDescent="0.25">
      <c r="A66" s="105" t="s">
        <v>461</v>
      </c>
      <c r="B66" s="78" t="s">
        <v>733</v>
      </c>
      <c r="C66" s="77" t="s">
        <v>739</v>
      </c>
      <c r="D66" s="83" t="s">
        <v>914</v>
      </c>
      <c r="E66" s="249">
        <v>12100</v>
      </c>
      <c r="F66" s="27">
        <f t="shared" ref="F66:F67" si="6">E66/5280</f>
        <v>2.2916666666666665</v>
      </c>
      <c r="G66" s="10">
        <v>2001</v>
      </c>
      <c r="H66" s="10"/>
      <c r="I66" s="57" t="s">
        <v>837</v>
      </c>
      <c r="J66" s="57" t="s">
        <v>919</v>
      </c>
    </row>
    <row r="67" spans="1:10" s="11" customFormat="1" ht="30" x14ac:dyDescent="0.25">
      <c r="A67" s="105" t="s">
        <v>461</v>
      </c>
      <c r="B67" s="78" t="s">
        <v>733</v>
      </c>
      <c r="C67" s="77" t="s">
        <v>739</v>
      </c>
      <c r="D67" s="83" t="s">
        <v>2558</v>
      </c>
      <c r="E67" s="249">
        <v>25600</v>
      </c>
      <c r="F67" s="27">
        <f t="shared" si="6"/>
        <v>4.8484848484848486</v>
      </c>
      <c r="G67" s="10" t="s">
        <v>447</v>
      </c>
      <c r="H67" s="10"/>
      <c r="I67" s="57" t="s">
        <v>293</v>
      </c>
      <c r="J67" s="57" t="s">
        <v>2559</v>
      </c>
    </row>
    <row r="68" spans="1:10" ht="45" x14ac:dyDescent="0.25">
      <c r="A68" s="105" t="s">
        <v>461</v>
      </c>
      <c r="B68" s="78" t="s">
        <v>733</v>
      </c>
      <c r="C68" s="77" t="s">
        <v>739</v>
      </c>
      <c r="D68" s="57" t="s">
        <v>740</v>
      </c>
      <c r="E68" s="249">
        <v>3148</v>
      </c>
      <c r="F68" s="27">
        <f>615/5280</f>
        <v>0.11647727272727272</v>
      </c>
      <c r="G68" s="105">
        <v>2015</v>
      </c>
      <c r="I68" s="57" t="s">
        <v>794</v>
      </c>
      <c r="J68" s="57" t="s">
        <v>911</v>
      </c>
    </row>
    <row r="69" spans="1:10" s="142" customFormat="1" ht="75" x14ac:dyDescent="0.25">
      <c r="A69" s="254" t="s">
        <v>461</v>
      </c>
      <c r="B69" s="244" t="s">
        <v>733</v>
      </c>
      <c r="C69" s="236" t="s">
        <v>741</v>
      </c>
      <c r="D69" s="144" t="s">
        <v>2562</v>
      </c>
      <c r="E69" s="250">
        <v>23700</v>
      </c>
      <c r="F69" s="240" t="s">
        <v>853</v>
      </c>
      <c r="G69" s="142" t="s">
        <v>154</v>
      </c>
      <c r="H69" s="254"/>
      <c r="I69" s="144" t="s">
        <v>765</v>
      </c>
      <c r="J69" s="144" t="s">
        <v>928</v>
      </c>
    </row>
    <row r="70" spans="1:10" ht="165" x14ac:dyDescent="0.25">
      <c r="A70" s="105" t="s">
        <v>461</v>
      </c>
      <c r="B70" s="78" t="s">
        <v>733</v>
      </c>
      <c r="C70" s="77" t="s">
        <v>741</v>
      </c>
      <c r="D70" s="57" t="s">
        <v>922</v>
      </c>
      <c r="E70" s="249">
        <v>25500</v>
      </c>
      <c r="F70" s="27">
        <f>E70/5280</f>
        <v>4.8295454545454541</v>
      </c>
      <c r="G70" s="105" t="s">
        <v>447</v>
      </c>
      <c r="H70" s="86" t="s">
        <v>912</v>
      </c>
      <c r="I70" s="57" t="s">
        <v>923</v>
      </c>
      <c r="J70" s="57" t="s">
        <v>921</v>
      </c>
    </row>
    <row r="71" spans="1:10" s="142" customFormat="1" ht="75" x14ac:dyDescent="0.25">
      <c r="A71" s="254" t="s">
        <v>461</v>
      </c>
      <c r="B71" s="244" t="s">
        <v>733</v>
      </c>
      <c r="C71" s="236" t="s">
        <v>741</v>
      </c>
      <c r="D71" s="144" t="s">
        <v>742</v>
      </c>
      <c r="E71" s="250">
        <v>4000</v>
      </c>
      <c r="F71" s="248">
        <f>675/5280</f>
        <v>0.12784090909090909</v>
      </c>
      <c r="G71" s="142" t="s">
        <v>154</v>
      </c>
      <c r="H71" s="254"/>
      <c r="I71" s="144" t="s">
        <v>795</v>
      </c>
      <c r="J71" s="144" t="s">
        <v>924</v>
      </c>
    </row>
    <row r="72" spans="1:10" s="142" customFormat="1" ht="60" x14ac:dyDescent="0.25">
      <c r="A72" s="254" t="s">
        <v>461</v>
      </c>
      <c r="B72" s="244" t="s">
        <v>733</v>
      </c>
      <c r="C72" s="236" t="s">
        <v>741</v>
      </c>
      <c r="D72" s="144" t="s">
        <v>743</v>
      </c>
      <c r="E72" s="250">
        <v>21433</v>
      </c>
      <c r="F72" s="240" t="s">
        <v>853</v>
      </c>
      <c r="G72" s="254">
        <v>2016</v>
      </c>
      <c r="H72" s="254"/>
      <c r="I72" s="144" t="s">
        <v>796</v>
      </c>
      <c r="J72" s="144" t="s">
        <v>925</v>
      </c>
    </row>
    <row r="73" spans="1:10" s="142" customFormat="1" ht="75" x14ac:dyDescent="0.25">
      <c r="A73" s="254" t="s">
        <v>461</v>
      </c>
      <c r="B73" s="244" t="s">
        <v>733</v>
      </c>
      <c r="C73" s="236" t="s">
        <v>744</v>
      </c>
      <c r="D73" s="144" t="s">
        <v>745</v>
      </c>
      <c r="E73" s="250">
        <v>3214</v>
      </c>
      <c r="F73" s="240" t="s">
        <v>853</v>
      </c>
      <c r="G73" s="142" t="s">
        <v>154</v>
      </c>
      <c r="H73" s="254"/>
      <c r="I73" s="144" t="s">
        <v>797</v>
      </c>
      <c r="J73" s="253" t="s">
        <v>926</v>
      </c>
    </row>
    <row r="74" spans="1:10" s="11" customFormat="1" ht="90" x14ac:dyDescent="0.25">
      <c r="A74" s="10" t="s">
        <v>461</v>
      </c>
      <c r="B74" s="78" t="s">
        <v>733</v>
      </c>
      <c r="C74" s="77" t="s">
        <v>744</v>
      </c>
      <c r="D74" s="57" t="s">
        <v>2547</v>
      </c>
      <c r="E74" s="249">
        <v>2000</v>
      </c>
      <c r="F74" s="241">
        <f>1217/5280</f>
        <v>0.23049242424242425</v>
      </c>
      <c r="G74" s="10">
        <v>1974</v>
      </c>
      <c r="H74" s="150" t="s">
        <v>2550</v>
      </c>
      <c r="I74" s="57" t="s">
        <v>2549</v>
      </c>
      <c r="J74" s="353" t="s">
        <v>2548</v>
      </c>
    </row>
    <row r="75" spans="1:10" ht="75" x14ac:dyDescent="0.25">
      <c r="A75" s="105" t="s">
        <v>461</v>
      </c>
      <c r="B75" s="78" t="s">
        <v>733</v>
      </c>
      <c r="C75" s="77" t="s">
        <v>744</v>
      </c>
      <c r="D75" s="57" t="s">
        <v>746</v>
      </c>
      <c r="E75" s="249">
        <v>17100</v>
      </c>
      <c r="F75" s="27">
        <f t="shared" ref="F75:F77" si="7">E75/5280</f>
        <v>3.2386363636363638</v>
      </c>
      <c r="G75" s="105">
        <v>2001</v>
      </c>
      <c r="H75" s="105" t="s">
        <v>2546</v>
      </c>
      <c r="I75" s="57" t="s">
        <v>798</v>
      </c>
      <c r="J75" s="122" t="s">
        <v>799</v>
      </c>
    </row>
    <row r="76" spans="1:10" s="142" customFormat="1" ht="75" x14ac:dyDescent="0.25">
      <c r="A76" s="254" t="s">
        <v>461</v>
      </c>
      <c r="B76" s="244" t="s">
        <v>733</v>
      </c>
      <c r="C76" s="236" t="s">
        <v>744</v>
      </c>
      <c r="D76" s="144" t="s">
        <v>2560</v>
      </c>
      <c r="E76" s="250">
        <v>19900</v>
      </c>
      <c r="F76" s="248">
        <f>1570/5280</f>
        <v>0.29734848484848486</v>
      </c>
      <c r="G76" s="142" t="s">
        <v>154</v>
      </c>
      <c r="H76" s="254"/>
      <c r="I76" s="144" t="s">
        <v>765</v>
      </c>
      <c r="J76" s="253" t="s">
        <v>927</v>
      </c>
    </row>
    <row r="77" spans="1:10" s="142" customFormat="1" ht="60" x14ac:dyDescent="0.25">
      <c r="A77" s="254" t="s">
        <v>461</v>
      </c>
      <c r="B77" s="244" t="s">
        <v>733</v>
      </c>
      <c r="C77" s="236" t="s">
        <v>744</v>
      </c>
      <c r="D77" s="144" t="s">
        <v>2561</v>
      </c>
      <c r="E77" s="250">
        <v>7000</v>
      </c>
      <c r="F77" s="248">
        <f t="shared" si="7"/>
        <v>1.3257575757575757</v>
      </c>
      <c r="G77" s="142" t="s">
        <v>154</v>
      </c>
      <c r="H77" s="254"/>
      <c r="I77" s="144" t="s">
        <v>798</v>
      </c>
      <c r="J77" s="253" t="s">
        <v>800</v>
      </c>
    </row>
    <row r="78" spans="1:10" x14ac:dyDescent="0.25">
      <c r="B78" s="11"/>
      <c r="C78" s="57"/>
      <c r="D78" s="11"/>
      <c r="E78" s="10"/>
      <c r="F78" s="10"/>
    </row>
    <row r="79" spans="1:10" x14ac:dyDescent="0.25">
      <c r="B79" s="11"/>
      <c r="C79" s="57"/>
      <c r="D79" s="114"/>
      <c r="E79" s="10"/>
      <c r="F79" s="18"/>
    </row>
    <row r="80" spans="1:10" x14ac:dyDescent="0.25">
      <c r="B80" s="234"/>
      <c r="C80" s="257"/>
      <c r="D80" s="251" t="s">
        <v>747</v>
      </c>
      <c r="E80" s="252">
        <f>SUM(E2:E77)+52800+158400+4000</f>
        <v>1394575</v>
      </c>
      <c r="F80" s="73">
        <f>F7+F8+F9+F10+F12+F13+F15+F16+F17+F18+F19+F21+F22+F23+F26+F27+F28+F31+F32+F34+F35+F37+F42+F44+F45+F49+F50+F53+F54+F55+F56+F57+F60+F61+F62+F65+F66+F67+F68+F70+F74+F75</f>
        <v>100.98465909090909</v>
      </c>
      <c r="G80" s="234" t="s">
        <v>320</v>
      </c>
      <c r="H80" s="354"/>
      <c r="I80" s="113"/>
    </row>
    <row r="81" spans="1:8" x14ac:dyDescent="0.25">
      <c r="F81" s="26">
        <f>F77+F76+F71+8.75+F59+F52+F48+F43+F40+F39+F38+F36+F33+F30+F14+10+F6+F5+F4+F3+F2+F41</f>
        <v>46.381818181818183</v>
      </c>
      <c r="G81" s="234" t="s">
        <v>2570</v>
      </c>
      <c r="H81" s="354"/>
    </row>
    <row r="82" spans="1:8" x14ac:dyDescent="0.25">
      <c r="H82" s="354"/>
    </row>
    <row r="83" spans="1:8" x14ac:dyDescent="0.25">
      <c r="A83" s="123" t="s">
        <v>247</v>
      </c>
      <c r="B83" s="124" t="s">
        <v>284</v>
      </c>
      <c r="C83" s="183"/>
    </row>
    <row r="84" spans="1:8" x14ac:dyDescent="0.25">
      <c r="A84" s="70"/>
      <c r="B84" s="124" t="s">
        <v>248</v>
      </c>
      <c r="C84" s="187"/>
    </row>
    <row r="85" spans="1:8" x14ac:dyDescent="0.25">
      <c r="A85" s="107"/>
      <c r="B85" s="124" t="s">
        <v>1411</v>
      </c>
      <c r="C85" s="187"/>
    </row>
    <row r="86" spans="1:8" x14ac:dyDescent="0.25">
      <c r="A86" s="11"/>
      <c r="B86" s="125" t="s">
        <v>485</v>
      </c>
      <c r="C86" s="187"/>
    </row>
    <row r="87" spans="1:8" x14ac:dyDescent="0.25">
      <c r="A87" s="11"/>
      <c r="B87" s="192"/>
      <c r="C87" s="234" t="s">
        <v>483</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workbookViewId="0"/>
  </sheetViews>
  <sheetFormatPr defaultRowHeight="15" x14ac:dyDescent="0.25"/>
  <cols>
    <col min="1" max="1" width="9.140625" style="11"/>
    <col min="2" max="2" width="14.28515625" style="11" customWidth="1"/>
    <col min="3" max="3" width="15.7109375" style="11" customWidth="1"/>
    <col min="4" max="4" width="38.5703125" style="11" customWidth="1"/>
    <col min="5" max="5" width="14.28515625" style="10" customWidth="1"/>
    <col min="6" max="6" width="14.85546875" style="134" customWidth="1"/>
    <col min="7" max="7" width="11.42578125" style="11" customWidth="1"/>
    <col min="8" max="8" width="16.7109375" style="57" customWidth="1"/>
    <col min="9" max="9" width="21.28515625" style="11" customWidth="1"/>
    <col min="10" max="10" width="60.28515625" style="57" customWidth="1"/>
    <col min="11" max="11" width="18.28515625" style="11" customWidth="1"/>
    <col min="12" max="12" width="28.85546875" style="11" customWidth="1"/>
    <col min="13" max="14" width="9.140625" style="11"/>
    <col min="15" max="15" width="12.42578125" style="11" customWidth="1"/>
    <col min="16" max="16" width="28.7109375" style="11" customWidth="1"/>
    <col min="17" max="17" width="10.42578125" style="11" customWidth="1"/>
    <col min="18" max="18" width="18.28515625" style="11" customWidth="1"/>
    <col min="19" max="20" width="13.42578125" style="11" customWidth="1"/>
    <col min="21" max="21" width="5.7109375" style="11" customWidth="1"/>
    <col min="22" max="22" width="46.85546875" style="11" customWidth="1"/>
    <col min="23" max="16384" width="9.140625" style="11"/>
  </cols>
  <sheetData>
    <row r="1" spans="1:22" ht="90" x14ac:dyDescent="0.25">
      <c r="A1" s="48" t="s">
        <v>0</v>
      </c>
      <c r="B1" s="48" t="s">
        <v>263</v>
      </c>
      <c r="C1" s="48" t="s">
        <v>264</v>
      </c>
      <c r="D1" s="48" t="s">
        <v>265</v>
      </c>
      <c r="E1" s="48" t="s">
        <v>5</v>
      </c>
      <c r="F1" s="131" t="s">
        <v>3</v>
      </c>
      <c r="G1" s="48" t="s">
        <v>266</v>
      </c>
      <c r="H1" s="48" t="s">
        <v>267</v>
      </c>
      <c r="I1" s="48" t="s">
        <v>268</v>
      </c>
      <c r="J1" s="48" t="s">
        <v>7</v>
      </c>
      <c r="K1" s="10"/>
      <c r="M1" s="10"/>
    </row>
    <row r="2" spans="1:22" s="78" customFormat="1" ht="45" x14ac:dyDescent="0.25">
      <c r="A2" s="77" t="s">
        <v>28</v>
      </c>
      <c r="B2" s="77" t="s">
        <v>321</v>
      </c>
      <c r="C2" s="77" t="s">
        <v>271</v>
      </c>
      <c r="D2" s="77" t="s">
        <v>176</v>
      </c>
      <c r="E2" s="117"/>
      <c r="F2" s="132">
        <v>0.2</v>
      </c>
      <c r="G2" s="117">
        <v>2011</v>
      </c>
      <c r="H2" s="77"/>
      <c r="I2" s="51" t="s">
        <v>171</v>
      </c>
      <c r="J2" s="77" t="s">
        <v>177</v>
      </c>
    </row>
    <row r="3" spans="1:22" s="78" customFormat="1" ht="135" x14ac:dyDescent="0.25">
      <c r="A3" s="77" t="s">
        <v>28</v>
      </c>
      <c r="B3" s="77" t="s">
        <v>270</v>
      </c>
      <c r="C3" s="77" t="s">
        <v>269</v>
      </c>
      <c r="D3" s="77" t="s">
        <v>303</v>
      </c>
      <c r="E3" s="117"/>
      <c r="F3" s="132">
        <v>0.4</v>
      </c>
      <c r="G3" s="117" t="s">
        <v>158</v>
      </c>
      <c r="H3" s="77" t="s">
        <v>272</v>
      </c>
      <c r="I3" s="82" t="s">
        <v>273</v>
      </c>
      <c r="J3" s="82" t="s">
        <v>298</v>
      </c>
      <c r="K3" s="79"/>
    </row>
    <row r="4" spans="1:22" s="32" customFormat="1" ht="75" x14ac:dyDescent="0.25">
      <c r="A4" s="42" t="s">
        <v>28</v>
      </c>
      <c r="B4" s="42" t="s">
        <v>270</v>
      </c>
      <c r="C4" s="42" t="s">
        <v>269</v>
      </c>
      <c r="D4" s="42" t="s">
        <v>279</v>
      </c>
      <c r="E4" s="50"/>
      <c r="F4" s="24">
        <v>0.4</v>
      </c>
      <c r="G4" s="42">
        <v>1955</v>
      </c>
      <c r="H4" s="51">
        <v>1956</v>
      </c>
      <c r="I4" s="51" t="s">
        <v>285</v>
      </c>
      <c r="J4" s="51" t="s">
        <v>299</v>
      </c>
      <c r="K4" s="79"/>
      <c r="L4" s="49"/>
      <c r="M4" s="50"/>
      <c r="N4" s="42"/>
      <c r="O4" s="42"/>
      <c r="P4" s="42"/>
      <c r="Q4" s="42"/>
      <c r="R4" s="42"/>
      <c r="S4" s="42"/>
      <c r="T4" s="42"/>
      <c r="V4" s="42"/>
    </row>
    <row r="5" spans="1:22" s="32" customFormat="1" ht="45" x14ac:dyDescent="0.25">
      <c r="A5" s="42" t="s">
        <v>28</v>
      </c>
      <c r="B5" s="42" t="s">
        <v>322</v>
      </c>
      <c r="C5" s="51" t="s">
        <v>173</v>
      </c>
      <c r="D5" s="42" t="s">
        <v>173</v>
      </c>
      <c r="E5" s="50"/>
      <c r="F5" s="24">
        <v>1.1000000000000001</v>
      </c>
      <c r="G5" s="42">
        <v>1986</v>
      </c>
      <c r="H5" s="51"/>
      <c r="I5" s="51" t="s">
        <v>171</v>
      </c>
      <c r="J5" s="51" t="s">
        <v>174</v>
      </c>
      <c r="K5" s="79"/>
      <c r="L5" s="49"/>
      <c r="M5" s="50"/>
      <c r="N5" s="42"/>
      <c r="O5" s="42"/>
      <c r="P5" s="42"/>
      <c r="Q5" s="42"/>
      <c r="R5" s="42"/>
      <c r="S5" s="42"/>
      <c r="T5" s="42"/>
      <c r="V5" s="42"/>
    </row>
    <row r="6" spans="1:22" s="32" customFormat="1" ht="45" x14ac:dyDescent="0.25">
      <c r="A6" s="42" t="s">
        <v>28</v>
      </c>
      <c r="B6" s="42" t="s">
        <v>322</v>
      </c>
      <c r="C6" s="42" t="s">
        <v>274</v>
      </c>
      <c r="D6" s="42" t="s">
        <v>280</v>
      </c>
      <c r="E6" s="50"/>
      <c r="F6" s="24">
        <v>0.2</v>
      </c>
      <c r="G6" s="42"/>
      <c r="H6" s="51">
        <v>2009</v>
      </c>
      <c r="I6" s="51" t="s">
        <v>171</v>
      </c>
      <c r="J6" s="51" t="s">
        <v>300</v>
      </c>
      <c r="K6" s="49"/>
      <c r="L6" s="49"/>
      <c r="M6" s="50"/>
      <c r="N6" s="42"/>
      <c r="O6" s="42"/>
      <c r="P6" s="42"/>
      <c r="Q6" s="42"/>
      <c r="R6" s="42"/>
      <c r="S6" s="42"/>
      <c r="T6" s="42"/>
      <c r="V6" s="42"/>
    </row>
    <row r="7" spans="1:22" ht="135" x14ac:dyDescent="0.25">
      <c r="A7" s="29" t="s">
        <v>28</v>
      </c>
      <c r="B7" s="29" t="s">
        <v>322</v>
      </c>
      <c r="C7" s="29" t="s">
        <v>274</v>
      </c>
      <c r="D7" s="52" t="s">
        <v>302</v>
      </c>
      <c r="E7" s="31"/>
      <c r="F7" s="18">
        <v>0.2</v>
      </c>
      <c r="G7" s="29">
        <v>1919</v>
      </c>
      <c r="H7" s="52" t="s">
        <v>155</v>
      </c>
      <c r="I7" s="52" t="s">
        <v>301</v>
      </c>
      <c r="J7" s="52" t="s">
        <v>307</v>
      </c>
      <c r="K7" s="101"/>
      <c r="M7" s="31"/>
      <c r="N7" s="29"/>
      <c r="O7" s="29"/>
      <c r="P7" s="29"/>
      <c r="Q7" s="29"/>
      <c r="S7" s="29"/>
      <c r="T7" s="29"/>
      <c r="V7" s="29"/>
    </row>
    <row r="8" spans="1:22" s="142" customFormat="1" ht="135" x14ac:dyDescent="0.25">
      <c r="A8" s="137" t="s">
        <v>28</v>
      </c>
      <c r="B8" s="137" t="s">
        <v>322</v>
      </c>
      <c r="C8" s="137" t="s">
        <v>274</v>
      </c>
      <c r="D8" s="138" t="s">
        <v>304</v>
      </c>
      <c r="E8" s="139">
        <v>3250</v>
      </c>
      <c r="F8" s="140">
        <f>E8/5280</f>
        <v>0.61553030303030298</v>
      </c>
      <c r="G8" s="137" t="s">
        <v>154</v>
      </c>
      <c r="H8" s="138"/>
      <c r="I8" s="142" t="s">
        <v>305</v>
      </c>
      <c r="J8" s="144" t="s">
        <v>306</v>
      </c>
      <c r="K8" s="141"/>
      <c r="M8" s="143"/>
      <c r="N8" s="137"/>
      <c r="O8" s="137"/>
      <c r="P8" s="137"/>
      <c r="Q8" s="137"/>
      <c r="S8" s="137"/>
      <c r="T8" s="137"/>
      <c r="V8" s="137"/>
    </row>
    <row r="9" spans="1:22" ht="60" x14ac:dyDescent="0.25">
      <c r="A9" s="29" t="s">
        <v>28</v>
      </c>
      <c r="B9" s="29" t="s">
        <v>322</v>
      </c>
      <c r="C9" s="29" t="s">
        <v>275</v>
      </c>
      <c r="D9" s="29" t="s">
        <v>281</v>
      </c>
      <c r="E9" s="31" t="s">
        <v>249</v>
      </c>
      <c r="F9" s="18"/>
      <c r="G9" s="29">
        <v>1989</v>
      </c>
      <c r="H9" s="52"/>
      <c r="I9" s="52" t="s">
        <v>170</v>
      </c>
      <c r="J9" s="52" t="s">
        <v>246</v>
      </c>
      <c r="K9" s="18"/>
      <c r="M9" s="31"/>
      <c r="N9" s="29"/>
      <c r="O9" s="29"/>
      <c r="P9" s="29"/>
      <c r="Q9" s="29"/>
      <c r="S9" s="29"/>
      <c r="T9" s="29"/>
      <c r="V9" s="29"/>
    </row>
    <row r="10" spans="1:22" ht="105" x14ac:dyDescent="0.25">
      <c r="A10" s="29" t="s">
        <v>28</v>
      </c>
      <c r="B10" s="29" t="s">
        <v>322</v>
      </c>
      <c r="C10" s="29" t="s">
        <v>276</v>
      </c>
      <c r="D10" s="29" t="s">
        <v>282</v>
      </c>
      <c r="E10" s="31"/>
      <c r="F10" s="18">
        <v>0.6</v>
      </c>
      <c r="G10" s="29">
        <v>1985</v>
      </c>
      <c r="H10" s="52">
        <v>2004</v>
      </c>
      <c r="I10" s="52" t="s">
        <v>286</v>
      </c>
      <c r="J10" s="52" t="s">
        <v>29</v>
      </c>
      <c r="K10" s="18"/>
      <c r="M10" s="31"/>
      <c r="N10" s="29"/>
      <c r="O10" s="29"/>
      <c r="P10" s="29"/>
      <c r="Q10" s="29"/>
      <c r="S10" s="29"/>
    </row>
    <row r="11" spans="1:22" ht="150" x14ac:dyDescent="0.25">
      <c r="A11" s="29" t="s">
        <v>28</v>
      </c>
      <c r="B11" s="29" t="s">
        <v>322</v>
      </c>
      <c r="C11" s="29" t="s">
        <v>277</v>
      </c>
      <c r="D11" s="52" t="s">
        <v>308</v>
      </c>
      <c r="E11" s="31"/>
      <c r="F11" s="18">
        <v>1.2</v>
      </c>
      <c r="G11" s="29" t="s">
        <v>169</v>
      </c>
      <c r="H11" s="63">
        <v>2013</v>
      </c>
      <c r="I11" s="52" t="s">
        <v>312</v>
      </c>
      <c r="J11" s="52" t="s">
        <v>309</v>
      </c>
      <c r="K11" s="80"/>
      <c r="M11" s="31"/>
      <c r="N11" s="29"/>
      <c r="O11" s="29"/>
      <c r="Q11" s="29"/>
      <c r="S11" s="29"/>
    </row>
    <row r="12" spans="1:22" ht="150" x14ac:dyDescent="0.25">
      <c r="A12" s="29" t="s">
        <v>28</v>
      </c>
      <c r="B12" s="29" t="s">
        <v>322</v>
      </c>
      <c r="C12" s="29" t="s">
        <v>277</v>
      </c>
      <c r="D12" s="52" t="s">
        <v>314</v>
      </c>
      <c r="E12" s="31"/>
      <c r="F12" s="133" t="s">
        <v>172</v>
      </c>
      <c r="G12" s="29">
        <v>1990</v>
      </c>
      <c r="H12" s="63" t="s">
        <v>311</v>
      </c>
      <c r="I12" s="52" t="s">
        <v>313</v>
      </c>
      <c r="J12" s="52" t="s">
        <v>310</v>
      </c>
      <c r="K12" s="80"/>
      <c r="M12" s="31"/>
      <c r="N12" s="29"/>
      <c r="O12" s="29"/>
      <c r="Q12" s="29"/>
      <c r="S12" s="29"/>
    </row>
    <row r="13" spans="1:22" s="142" customFormat="1" ht="90" x14ac:dyDescent="0.25">
      <c r="A13" s="137" t="s">
        <v>28</v>
      </c>
      <c r="B13" s="137" t="s">
        <v>322</v>
      </c>
      <c r="C13" s="137" t="s">
        <v>277</v>
      </c>
      <c r="D13" s="138" t="s">
        <v>318</v>
      </c>
      <c r="E13" s="143" t="s">
        <v>319</v>
      </c>
      <c r="F13" s="146" t="s">
        <v>319</v>
      </c>
      <c r="G13" s="142" t="s">
        <v>154</v>
      </c>
      <c r="H13" s="142" t="s">
        <v>317</v>
      </c>
      <c r="I13" s="145" t="s">
        <v>315</v>
      </c>
      <c r="J13" s="144" t="s">
        <v>316</v>
      </c>
      <c r="K13" s="147"/>
      <c r="M13" s="143"/>
      <c r="N13" s="137"/>
      <c r="O13" s="137"/>
      <c r="Q13" s="137"/>
      <c r="S13" s="137"/>
    </row>
    <row r="14" spans="1:22" ht="105" x14ac:dyDescent="0.25">
      <c r="A14" s="29" t="s">
        <v>28</v>
      </c>
      <c r="B14" s="29" t="s">
        <v>322</v>
      </c>
      <c r="C14" s="29" t="s">
        <v>278</v>
      </c>
      <c r="D14" s="29" t="s">
        <v>283</v>
      </c>
      <c r="E14" s="31"/>
      <c r="F14" s="24">
        <v>2</v>
      </c>
      <c r="G14" s="42">
        <v>1974</v>
      </c>
      <c r="H14" s="51"/>
      <c r="I14" s="51" t="s">
        <v>286</v>
      </c>
      <c r="J14" s="51" t="s">
        <v>175</v>
      </c>
      <c r="K14" s="80"/>
      <c r="M14" s="31"/>
      <c r="N14" s="29"/>
      <c r="O14" s="29"/>
      <c r="Q14" s="29"/>
      <c r="S14" s="29"/>
    </row>
    <row r="15" spans="1:22" x14ac:dyDescent="0.25">
      <c r="A15" s="29"/>
      <c r="B15" s="29"/>
      <c r="C15" s="29"/>
      <c r="D15" s="29"/>
      <c r="E15" s="31"/>
      <c r="G15" s="29"/>
      <c r="H15" s="52"/>
      <c r="I15" s="29"/>
      <c r="J15" s="52"/>
      <c r="K15" s="18"/>
      <c r="L15" s="29"/>
      <c r="M15" s="31"/>
      <c r="N15" s="29"/>
      <c r="O15" s="29"/>
      <c r="P15" s="29"/>
      <c r="Q15" s="29"/>
      <c r="S15" s="29"/>
      <c r="T15" s="29"/>
    </row>
    <row r="16" spans="1:22" x14ac:dyDescent="0.25">
      <c r="A16" s="29"/>
      <c r="B16" s="29"/>
      <c r="C16" s="29"/>
      <c r="D16" s="95" t="s">
        <v>6</v>
      </c>
      <c r="E16" s="31"/>
      <c r="F16" s="26">
        <f>SUM(F2:F14)-F17</f>
        <v>6.3000000000000007</v>
      </c>
      <c r="G16" s="148" t="s">
        <v>320</v>
      </c>
      <c r="H16" s="54"/>
      <c r="I16" s="41"/>
      <c r="J16" s="53"/>
      <c r="K16" s="19"/>
      <c r="L16" s="29"/>
      <c r="M16" s="31"/>
      <c r="N16" s="29"/>
      <c r="O16" s="29"/>
      <c r="S16" s="29"/>
    </row>
    <row r="17" spans="1:22" x14ac:dyDescent="0.25">
      <c r="A17" s="29"/>
      <c r="B17" s="29"/>
      <c r="C17" s="29"/>
      <c r="D17" s="29"/>
      <c r="E17" s="31"/>
      <c r="F17" s="26">
        <f>F8</f>
        <v>0.61553030303030298</v>
      </c>
      <c r="G17" s="40" t="s">
        <v>154</v>
      </c>
      <c r="H17" s="52"/>
      <c r="I17" s="29"/>
      <c r="J17" s="52"/>
      <c r="K17" s="18"/>
      <c r="M17" s="31"/>
      <c r="N17" s="29"/>
      <c r="O17" s="29"/>
      <c r="Q17" s="29"/>
      <c r="S17" s="29"/>
      <c r="T17" s="29"/>
    </row>
    <row r="18" spans="1:22" x14ac:dyDescent="0.25">
      <c r="A18" s="29"/>
      <c r="B18" s="29"/>
      <c r="C18" s="29"/>
      <c r="D18" s="81"/>
      <c r="E18" s="31"/>
      <c r="G18" s="29"/>
      <c r="H18" s="81"/>
      <c r="I18" s="52"/>
      <c r="J18" s="52"/>
      <c r="K18" s="18"/>
      <c r="L18" s="29"/>
      <c r="M18" s="31"/>
      <c r="N18" s="29"/>
      <c r="O18" s="29"/>
      <c r="Q18" s="29"/>
      <c r="S18" s="29"/>
    </row>
    <row r="19" spans="1:22" x14ac:dyDescent="0.25">
      <c r="A19" s="123" t="s">
        <v>247</v>
      </c>
      <c r="B19" s="124" t="s">
        <v>284</v>
      </c>
      <c r="C19" s="123"/>
      <c r="E19" s="136"/>
      <c r="F19" s="135"/>
      <c r="G19" s="20"/>
      <c r="H19" s="55"/>
      <c r="I19" s="22"/>
      <c r="J19" s="52"/>
      <c r="K19" s="18"/>
      <c r="M19" s="31"/>
      <c r="N19" s="29"/>
      <c r="O19" s="29"/>
      <c r="Q19" s="29"/>
      <c r="S19" s="29"/>
    </row>
    <row r="20" spans="1:22" x14ac:dyDescent="0.25">
      <c r="A20" s="70"/>
      <c r="B20" s="124" t="s">
        <v>248</v>
      </c>
      <c r="C20" s="70"/>
      <c r="E20" s="136"/>
      <c r="F20" s="135"/>
      <c r="G20" s="20"/>
      <c r="H20" s="56"/>
      <c r="I20" s="22"/>
      <c r="J20" s="52"/>
      <c r="M20" s="31"/>
      <c r="N20" s="29"/>
      <c r="O20" s="29"/>
      <c r="Q20" s="29"/>
      <c r="S20" s="29"/>
      <c r="V20" s="23"/>
    </row>
    <row r="21" spans="1:22" x14ac:dyDescent="0.25">
      <c r="A21" s="107"/>
      <c r="B21" s="124" t="s">
        <v>1411</v>
      </c>
      <c r="C21" s="107"/>
      <c r="E21" s="31"/>
      <c r="G21" s="42"/>
      <c r="H21" s="54"/>
      <c r="I21" s="42"/>
      <c r="J21" s="51"/>
      <c r="K21" s="24"/>
      <c r="L21" s="29"/>
      <c r="M21" s="31"/>
      <c r="N21" s="29"/>
      <c r="O21" s="29"/>
      <c r="S21" s="29"/>
    </row>
    <row r="22" spans="1:22" x14ac:dyDescent="0.25">
      <c r="B22" s="125" t="s">
        <v>484</v>
      </c>
      <c r="E22" s="136"/>
      <c r="F22" s="135"/>
      <c r="G22" s="20"/>
      <c r="H22" s="55"/>
      <c r="I22" s="21"/>
      <c r="J22" s="56"/>
      <c r="K22" s="24"/>
      <c r="L22" s="29"/>
      <c r="M22" s="31"/>
      <c r="N22" s="29"/>
      <c r="O22" s="29"/>
      <c r="S22" s="29"/>
    </row>
    <row r="23" spans="1:22" x14ac:dyDescent="0.25">
      <c r="A23" s="29"/>
      <c r="B23" s="29"/>
      <c r="C23" s="234" t="s">
        <v>483</v>
      </c>
      <c r="D23" s="29"/>
      <c r="E23" s="31"/>
      <c r="G23" s="42"/>
      <c r="H23" s="54"/>
      <c r="I23" s="42"/>
      <c r="J23" s="51"/>
      <c r="K23" s="24"/>
      <c r="L23" s="29"/>
      <c r="M23" s="31"/>
      <c r="N23" s="29"/>
      <c r="O23" s="29"/>
      <c r="Q23" s="29"/>
      <c r="R23" s="29"/>
      <c r="S23" s="29"/>
    </row>
    <row r="24" spans="1:22" x14ac:dyDescent="0.25">
      <c r="A24" s="29"/>
      <c r="B24" s="29"/>
      <c r="C24" s="29"/>
      <c r="D24" s="29"/>
      <c r="E24" s="31"/>
      <c r="G24" s="29"/>
      <c r="H24" s="52"/>
      <c r="I24" s="29"/>
      <c r="J24" s="52"/>
      <c r="K24" s="18"/>
      <c r="L24" s="29"/>
      <c r="M24" s="31"/>
      <c r="N24" s="29"/>
      <c r="O24" s="29"/>
      <c r="P24" s="29"/>
      <c r="Q24" s="29"/>
      <c r="S24" s="29"/>
    </row>
    <row r="25" spans="1:22" x14ac:dyDescent="0.25">
      <c r="A25" s="29"/>
      <c r="B25" s="29"/>
      <c r="C25" s="29"/>
      <c r="D25" s="29"/>
      <c r="E25" s="31"/>
      <c r="G25" s="29"/>
      <c r="H25" s="52"/>
      <c r="I25" s="29"/>
      <c r="J25" s="52"/>
      <c r="K25" s="18"/>
      <c r="L25" s="29"/>
      <c r="M25" s="31"/>
      <c r="N25" s="29"/>
      <c r="O25" s="29"/>
      <c r="P25" s="29"/>
      <c r="Q25" s="29"/>
      <c r="S25" s="29"/>
      <c r="T25" s="29"/>
    </row>
    <row r="26" spans="1:22" x14ac:dyDescent="0.25">
      <c r="A26" s="29"/>
      <c r="B26" s="29"/>
      <c r="C26" s="29"/>
      <c r="D26" s="29"/>
      <c r="E26" s="31"/>
      <c r="G26" s="29"/>
      <c r="H26" s="52"/>
      <c r="I26" s="29"/>
      <c r="J26" s="52"/>
      <c r="K26" s="18"/>
      <c r="L26" s="29"/>
      <c r="M26" s="31"/>
      <c r="N26" s="29"/>
      <c r="O26" s="29"/>
      <c r="P26" s="29"/>
      <c r="Q26" s="29"/>
      <c r="S26" s="29"/>
    </row>
    <row r="27" spans="1:22" x14ac:dyDescent="0.25">
      <c r="A27" s="29"/>
      <c r="B27" s="29"/>
      <c r="C27" s="29"/>
      <c r="D27" s="29"/>
      <c r="E27" s="31"/>
      <c r="G27" s="29"/>
      <c r="H27" s="52"/>
      <c r="I27" s="29"/>
      <c r="J27" s="52"/>
      <c r="K27" s="18"/>
      <c r="L27" s="29"/>
      <c r="M27" s="31"/>
      <c r="N27" s="29"/>
      <c r="O27" s="29"/>
      <c r="Q27" s="29"/>
      <c r="R27" s="29"/>
      <c r="S27" s="29"/>
      <c r="T27" s="29"/>
    </row>
    <row r="28" spans="1:22" x14ac:dyDescent="0.25">
      <c r="A28" s="29"/>
      <c r="B28" s="29"/>
      <c r="C28" s="29"/>
      <c r="D28" s="29"/>
      <c r="E28" s="31"/>
      <c r="G28" s="29"/>
      <c r="H28" s="52"/>
      <c r="I28" s="29"/>
      <c r="J28" s="52"/>
      <c r="K28" s="18"/>
      <c r="M28" s="31"/>
      <c r="N28" s="29"/>
      <c r="O28" s="29"/>
      <c r="P28" s="29"/>
      <c r="Q28" s="29"/>
      <c r="S28" s="29"/>
      <c r="T28" s="29"/>
    </row>
    <row r="29" spans="1:22" x14ac:dyDescent="0.25">
      <c r="A29" s="29"/>
      <c r="B29" s="29"/>
      <c r="C29" s="29"/>
      <c r="D29" s="29"/>
      <c r="E29" s="31"/>
      <c r="G29" s="29"/>
      <c r="H29" s="52"/>
      <c r="I29" s="29"/>
      <c r="J29" s="52"/>
      <c r="K29" s="18"/>
      <c r="L29" s="29"/>
      <c r="M29" s="31"/>
      <c r="N29" s="29"/>
      <c r="O29" s="29"/>
      <c r="Q29" s="29"/>
      <c r="S29" s="29"/>
    </row>
    <row r="30" spans="1:22" x14ac:dyDescent="0.25">
      <c r="A30" s="29"/>
      <c r="B30" s="29"/>
      <c r="C30" s="29"/>
      <c r="D30" s="29"/>
      <c r="E30" s="31"/>
      <c r="G30" s="29"/>
      <c r="H30" s="52"/>
      <c r="I30" s="29"/>
      <c r="J30" s="55"/>
      <c r="K30" s="18"/>
      <c r="L30" s="29"/>
      <c r="M30" s="31"/>
      <c r="N30" s="29"/>
      <c r="O30" s="29"/>
      <c r="Q30" s="29"/>
      <c r="S30" s="29"/>
    </row>
    <row r="31" spans="1:22" x14ac:dyDescent="0.25">
      <c r="A31" s="29"/>
      <c r="B31" s="29"/>
      <c r="C31" s="29"/>
      <c r="D31" s="29"/>
      <c r="E31" s="31"/>
      <c r="G31" s="29"/>
      <c r="H31" s="52"/>
      <c r="I31" s="29"/>
      <c r="J31" s="52"/>
      <c r="K31" s="18"/>
      <c r="L31" s="29"/>
      <c r="M31" s="31"/>
      <c r="N31" s="29"/>
      <c r="O31" s="29"/>
      <c r="Q31" s="29"/>
      <c r="S31" s="29"/>
    </row>
    <row r="32" spans="1:22" x14ac:dyDescent="0.25">
      <c r="A32" s="29"/>
      <c r="B32" s="29"/>
      <c r="C32" s="29"/>
      <c r="D32" s="29"/>
      <c r="E32" s="31"/>
      <c r="G32" s="29"/>
      <c r="H32" s="52"/>
      <c r="I32" s="30"/>
      <c r="J32" s="54"/>
      <c r="K32" s="18"/>
      <c r="L32" s="29"/>
      <c r="M32" s="31"/>
      <c r="N32" s="29"/>
      <c r="O32" s="29"/>
      <c r="Q32" s="29"/>
      <c r="S32" s="29"/>
      <c r="V32" s="29"/>
    </row>
    <row r="33" spans="1:22" x14ac:dyDescent="0.25">
      <c r="A33" s="29"/>
      <c r="B33" s="29"/>
      <c r="C33" s="29"/>
      <c r="D33" s="29"/>
      <c r="E33" s="31"/>
      <c r="G33" s="29"/>
      <c r="H33" s="52"/>
      <c r="I33" s="29"/>
      <c r="J33" s="52"/>
      <c r="K33" s="18"/>
      <c r="L33" s="29"/>
      <c r="M33" s="31"/>
      <c r="N33" s="29"/>
      <c r="O33" s="29"/>
      <c r="Q33" s="29"/>
      <c r="S33" s="29"/>
    </row>
    <row r="34" spans="1:22" x14ac:dyDescent="0.25">
      <c r="A34" s="29"/>
      <c r="B34" s="29"/>
      <c r="C34" s="29"/>
      <c r="D34" s="29"/>
      <c r="E34" s="31"/>
      <c r="G34" s="29"/>
      <c r="H34" s="52"/>
      <c r="I34" s="29"/>
      <c r="J34" s="52"/>
      <c r="K34" s="18"/>
      <c r="L34" s="29"/>
      <c r="M34" s="31"/>
      <c r="N34" s="29"/>
      <c r="O34" s="29"/>
      <c r="P34" s="29"/>
      <c r="S34" s="29"/>
    </row>
    <row r="35" spans="1:22" x14ac:dyDescent="0.25">
      <c r="A35" s="29"/>
      <c r="B35" s="29"/>
      <c r="C35" s="29"/>
      <c r="D35" s="29"/>
      <c r="E35" s="31"/>
      <c r="G35" s="29"/>
      <c r="H35" s="52"/>
      <c r="I35" s="30"/>
      <c r="J35" s="52"/>
      <c r="K35" s="18"/>
      <c r="L35" s="29"/>
      <c r="M35" s="31"/>
      <c r="N35" s="29"/>
      <c r="O35" s="29"/>
      <c r="Q35" s="29"/>
      <c r="S35" s="29"/>
      <c r="T35" s="29"/>
      <c r="V35" s="29"/>
    </row>
    <row r="36" spans="1:22" x14ac:dyDescent="0.25">
      <c r="A36" s="29"/>
      <c r="B36" s="29"/>
      <c r="C36" s="29"/>
      <c r="D36" s="30"/>
      <c r="E36" s="136"/>
      <c r="F36" s="135"/>
      <c r="G36" s="30"/>
      <c r="H36" s="55"/>
      <c r="I36" s="30"/>
      <c r="J36" s="55"/>
      <c r="K36" s="19"/>
      <c r="L36" s="29"/>
      <c r="M36" s="31"/>
      <c r="N36" s="29"/>
      <c r="O36" s="29"/>
      <c r="Q36" s="29"/>
      <c r="R36" s="29"/>
      <c r="S36" s="29"/>
    </row>
    <row r="37" spans="1:22" x14ac:dyDescent="0.25">
      <c r="A37" s="29"/>
      <c r="B37" s="29"/>
      <c r="C37" s="29"/>
      <c r="D37" s="29"/>
      <c r="E37" s="31"/>
      <c r="G37" s="29"/>
      <c r="H37" s="52"/>
      <c r="I37" s="29"/>
      <c r="J37" s="52"/>
      <c r="K37" s="18"/>
      <c r="L37" s="29"/>
      <c r="M37" s="31"/>
      <c r="N37" s="29"/>
      <c r="O37" s="29"/>
      <c r="Q37" s="29"/>
      <c r="S37" s="29"/>
      <c r="V37" s="29"/>
    </row>
    <row r="38" spans="1:22" x14ac:dyDescent="0.25">
      <c r="A38" s="29"/>
      <c r="B38" s="29"/>
      <c r="C38" s="29"/>
      <c r="D38" s="29"/>
      <c r="E38" s="31"/>
      <c r="G38" s="29"/>
      <c r="H38" s="52"/>
      <c r="I38" s="29"/>
      <c r="J38" s="52"/>
      <c r="K38" s="18"/>
      <c r="L38" s="29"/>
      <c r="M38" s="31"/>
      <c r="N38" s="29"/>
      <c r="O38" s="29"/>
      <c r="Q38" s="29"/>
      <c r="S38" s="29"/>
      <c r="T38" s="29"/>
      <c r="V38" s="29"/>
    </row>
    <row r="39" spans="1:22" x14ac:dyDescent="0.25">
      <c r="A39" s="29"/>
      <c r="B39" s="29"/>
      <c r="C39" s="29"/>
      <c r="D39" s="30"/>
      <c r="E39" s="136"/>
      <c r="F39" s="135"/>
      <c r="G39" s="20"/>
      <c r="H39" s="55"/>
      <c r="I39" s="21"/>
      <c r="J39" s="56"/>
      <c r="K39" s="18"/>
      <c r="L39" s="29"/>
      <c r="M39" s="31"/>
      <c r="N39" s="29"/>
      <c r="O39" s="29"/>
      <c r="Q39" s="29"/>
      <c r="S39" s="29"/>
      <c r="T39" s="29"/>
      <c r="V39" s="29"/>
    </row>
    <row r="40" spans="1:22" x14ac:dyDescent="0.25">
      <c r="A40" s="29"/>
      <c r="B40" s="29"/>
      <c r="C40" s="29"/>
      <c r="D40" s="30"/>
      <c r="E40" s="136"/>
      <c r="F40" s="135"/>
      <c r="G40" s="20"/>
      <c r="H40" s="55"/>
      <c r="I40" s="21"/>
      <c r="J40" s="56"/>
      <c r="K40" s="18"/>
      <c r="L40" s="29"/>
      <c r="M40" s="31"/>
      <c r="N40" s="29"/>
      <c r="O40" s="29"/>
      <c r="Q40" s="29"/>
      <c r="S40" s="29"/>
      <c r="T40" s="29"/>
    </row>
    <row r="41" spans="1:22" x14ac:dyDescent="0.25">
      <c r="A41" s="29"/>
      <c r="B41" s="29"/>
      <c r="C41" s="29"/>
      <c r="D41" s="29"/>
      <c r="E41" s="31"/>
      <c r="G41" s="29"/>
      <c r="H41" s="52"/>
      <c r="I41" s="29"/>
      <c r="J41" s="52"/>
      <c r="K41" s="18"/>
      <c r="L41" s="29"/>
      <c r="M41" s="31"/>
      <c r="N41" s="29"/>
      <c r="O41" s="29"/>
      <c r="P41" s="29"/>
      <c r="Q41" s="29"/>
      <c r="R41" s="29"/>
      <c r="S41" s="29"/>
      <c r="T41" s="29"/>
    </row>
    <row r="42" spans="1:22" x14ac:dyDescent="0.25">
      <c r="A42" s="29"/>
      <c r="B42" s="29"/>
      <c r="C42" s="29"/>
      <c r="D42" s="29"/>
      <c r="E42" s="31"/>
      <c r="G42" s="29"/>
      <c r="H42" s="52"/>
      <c r="I42" s="29"/>
      <c r="J42" s="52"/>
      <c r="K42" s="18"/>
      <c r="L42" s="29"/>
      <c r="M42" s="31"/>
      <c r="N42" s="29"/>
      <c r="O42" s="29"/>
      <c r="Q42" s="29"/>
      <c r="S42" s="29"/>
    </row>
    <row r="43" spans="1:22" x14ac:dyDescent="0.25">
      <c r="A43" s="29"/>
      <c r="B43" s="29"/>
      <c r="C43" s="29"/>
      <c r="D43" s="29"/>
      <c r="E43" s="31"/>
      <c r="G43" s="29"/>
      <c r="H43" s="52"/>
      <c r="I43" s="29"/>
      <c r="J43" s="52"/>
      <c r="K43" s="18"/>
      <c r="L43" s="29"/>
      <c r="M43" s="31"/>
      <c r="N43" s="29"/>
      <c r="O43" s="29"/>
      <c r="Q43" s="29"/>
      <c r="S43" s="29"/>
      <c r="V43" s="29"/>
    </row>
    <row r="44" spans="1:22" x14ac:dyDescent="0.25">
      <c r="A44" s="29"/>
      <c r="B44" s="29"/>
      <c r="C44" s="29"/>
      <c r="D44" s="29"/>
      <c r="E44" s="31"/>
      <c r="G44" s="29"/>
      <c r="H44" s="52"/>
      <c r="I44" s="29"/>
      <c r="J44" s="52"/>
      <c r="K44" s="18"/>
      <c r="L44" s="29"/>
      <c r="M44" s="31"/>
      <c r="N44" s="29"/>
      <c r="O44" s="29"/>
      <c r="S44" s="29"/>
    </row>
    <row r="45" spans="1:22" x14ac:dyDescent="0.25">
      <c r="A45" s="29"/>
      <c r="B45" s="29"/>
      <c r="C45" s="29"/>
      <c r="D45" s="29"/>
      <c r="E45" s="31"/>
      <c r="G45" s="29"/>
      <c r="H45" s="52"/>
      <c r="I45" s="29"/>
      <c r="J45" s="52"/>
      <c r="K45" s="18"/>
      <c r="L45" s="29"/>
      <c r="M45" s="31"/>
      <c r="N45" s="29"/>
      <c r="O45" s="29"/>
      <c r="Q45" s="29"/>
      <c r="S45" s="29"/>
    </row>
    <row r="46" spans="1:22" x14ac:dyDescent="0.25">
      <c r="A46" s="29"/>
      <c r="B46" s="29"/>
      <c r="C46" s="29"/>
      <c r="D46" s="29"/>
      <c r="E46" s="31"/>
      <c r="G46" s="29"/>
      <c r="H46" s="52"/>
      <c r="I46" s="29"/>
      <c r="J46" s="52"/>
      <c r="K46" s="18"/>
      <c r="L46" s="29"/>
      <c r="M46" s="31"/>
      <c r="N46" s="29"/>
      <c r="O46" s="29"/>
      <c r="Q46" s="29"/>
      <c r="S46" s="29"/>
    </row>
    <row r="47" spans="1:22" x14ac:dyDescent="0.25">
      <c r="A47" s="29"/>
      <c r="B47" s="29"/>
      <c r="C47" s="29"/>
      <c r="D47" s="29"/>
      <c r="E47" s="31"/>
      <c r="G47" s="29"/>
      <c r="H47" s="52"/>
      <c r="I47" s="30"/>
      <c r="J47" s="52"/>
      <c r="K47" s="18"/>
      <c r="L47" s="29"/>
      <c r="M47" s="31"/>
      <c r="N47" s="29"/>
      <c r="O47" s="29"/>
      <c r="Q47" s="29"/>
      <c r="S47" s="29"/>
    </row>
    <row r="48" spans="1:22" x14ac:dyDescent="0.25">
      <c r="A48" s="29"/>
      <c r="B48" s="29"/>
      <c r="C48" s="29"/>
      <c r="D48" s="30"/>
      <c r="E48" s="136"/>
      <c r="F48" s="135"/>
      <c r="G48" s="20"/>
      <c r="H48" s="55"/>
      <c r="I48" s="21"/>
      <c r="J48" s="56"/>
      <c r="K48" s="18"/>
      <c r="L48" s="29"/>
      <c r="M48" s="31"/>
      <c r="N48" s="29"/>
      <c r="O48" s="29"/>
      <c r="Q48" s="29"/>
      <c r="S48" s="29"/>
    </row>
    <row r="49" spans="1:22" x14ac:dyDescent="0.25">
      <c r="A49" s="29"/>
      <c r="B49" s="29"/>
      <c r="C49" s="29"/>
      <c r="D49" s="29"/>
      <c r="E49" s="31"/>
      <c r="G49" s="41"/>
      <c r="H49" s="52"/>
      <c r="I49" s="45"/>
      <c r="J49" s="53"/>
      <c r="K49" s="19"/>
      <c r="L49" s="29"/>
      <c r="M49" s="31"/>
      <c r="N49" s="29"/>
      <c r="O49" s="29"/>
      <c r="Q49" s="29"/>
      <c r="R49" s="29"/>
      <c r="S49" s="29"/>
    </row>
    <row r="50" spans="1:22" x14ac:dyDescent="0.25">
      <c r="A50" s="29"/>
      <c r="B50" s="29"/>
      <c r="C50" s="29"/>
      <c r="D50" s="29"/>
      <c r="E50" s="31"/>
      <c r="G50" s="29"/>
      <c r="H50" s="52"/>
      <c r="I50" s="29"/>
      <c r="J50" s="55"/>
      <c r="K50" s="18"/>
      <c r="L50" s="29"/>
      <c r="M50" s="31"/>
      <c r="N50" s="29"/>
      <c r="O50" s="29"/>
      <c r="Q50" s="29"/>
      <c r="S50" s="29"/>
      <c r="V50" s="29"/>
    </row>
    <row r="51" spans="1:22" x14ac:dyDescent="0.25">
      <c r="A51" s="29"/>
      <c r="B51" s="29"/>
      <c r="C51" s="29"/>
      <c r="D51" s="29"/>
      <c r="E51" s="31"/>
      <c r="G51" s="41"/>
      <c r="H51" s="52"/>
      <c r="I51" s="45"/>
      <c r="J51" s="53"/>
      <c r="K51" s="19"/>
      <c r="L51" s="29"/>
      <c r="M51" s="31"/>
      <c r="N51" s="29"/>
      <c r="O51" s="29"/>
      <c r="S51" s="29"/>
      <c r="V51" s="29"/>
    </row>
    <row r="52" spans="1:22" x14ac:dyDescent="0.25">
      <c r="A52" s="29"/>
      <c r="B52" s="29"/>
      <c r="C52" s="29"/>
      <c r="D52" s="29"/>
      <c r="E52" s="31"/>
      <c r="G52" s="29"/>
      <c r="H52" s="52"/>
      <c r="I52" s="29"/>
      <c r="J52" s="52"/>
      <c r="K52" s="18"/>
      <c r="L52" s="29"/>
      <c r="M52" s="31"/>
      <c r="N52" s="29"/>
      <c r="O52" s="29"/>
      <c r="Q52" s="29"/>
      <c r="S52" s="29"/>
    </row>
    <row r="53" spans="1:22" x14ac:dyDescent="0.25">
      <c r="A53" s="29"/>
      <c r="B53" s="29"/>
      <c r="C53" s="29"/>
      <c r="D53" s="30"/>
      <c r="E53" s="136"/>
      <c r="F53" s="135"/>
      <c r="G53" s="20"/>
      <c r="H53" s="55"/>
      <c r="I53" s="21"/>
      <c r="J53" s="56"/>
      <c r="K53" s="18"/>
      <c r="L53" s="29"/>
      <c r="M53" s="31"/>
      <c r="N53" s="29"/>
      <c r="O53" s="29"/>
      <c r="Q53" s="29"/>
      <c r="S53" s="29"/>
    </row>
    <row r="54" spans="1:22" x14ac:dyDescent="0.25">
      <c r="A54" s="29"/>
      <c r="B54" s="29"/>
      <c r="C54" s="29"/>
      <c r="D54" s="29"/>
      <c r="E54" s="31"/>
      <c r="G54" s="29"/>
      <c r="H54" s="52"/>
      <c r="I54" s="29"/>
      <c r="J54" s="52"/>
      <c r="K54" s="18"/>
      <c r="L54" s="29"/>
      <c r="M54" s="31"/>
      <c r="N54" s="29"/>
      <c r="O54" s="29"/>
      <c r="Q54" s="29"/>
      <c r="S54" s="29"/>
    </row>
    <row r="55" spans="1:22" x14ac:dyDescent="0.25">
      <c r="A55" s="29"/>
      <c r="B55" s="29"/>
      <c r="C55" s="29"/>
      <c r="D55" s="29"/>
      <c r="E55" s="31"/>
      <c r="G55" s="29"/>
      <c r="H55" s="52"/>
      <c r="I55" s="29"/>
      <c r="J55" s="52"/>
      <c r="K55" s="18"/>
      <c r="L55" s="29"/>
      <c r="M55" s="31"/>
      <c r="N55" s="29"/>
      <c r="O55" s="29"/>
      <c r="Q55" s="29"/>
      <c r="S55" s="29"/>
      <c r="T55" s="29"/>
    </row>
    <row r="56" spans="1:22" x14ac:dyDescent="0.25">
      <c r="A56" s="29"/>
      <c r="B56" s="29"/>
      <c r="C56" s="29"/>
      <c r="D56" s="29"/>
      <c r="E56" s="31"/>
      <c r="G56" s="29"/>
      <c r="H56" s="52"/>
      <c r="I56" s="29"/>
      <c r="J56" s="52"/>
      <c r="K56" s="18"/>
      <c r="L56" s="29"/>
      <c r="M56" s="31"/>
      <c r="N56" s="29"/>
      <c r="O56" s="29"/>
      <c r="Q56" s="29"/>
      <c r="S56" s="29"/>
      <c r="T56" s="29"/>
      <c r="V56" s="29"/>
    </row>
    <row r="57" spans="1:22" x14ac:dyDescent="0.25">
      <c r="A57" s="29"/>
      <c r="B57" s="29"/>
      <c r="C57" s="29"/>
      <c r="D57" s="29"/>
      <c r="E57" s="31"/>
      <c r="G57" s="29"/>
      <c r="H57" s="52"/>
      <c r="I57" s="29"/>
      <c r="J57" s="52"/>
      <c r="K57" s="18"/>
      <c r="L57" s="29"/>
      <c r="M57" s="31"/>
      <c r="N57" s="29"/>
      <c r="O57" s="29"/>
      <c r="Q57" s="29"/>
      <c r="S57" s="29"/>
      <c r="T57" s="29"/>
    </row>
    <row r="58" spans="1:22" x14ac:dyDescent="0.25">
      <c r="A58" s="29"/>
      <c r="B58" s="29"/>
      <c r="C58" s="29"/>
      <c r="D58" s="29"/>
      <c r="E58" s="31"/>
      <c r="G58" s="29"/>
      <c r="H58" s="52"/>
      <c r="I58" s="29"/>
      <c r="J58" s="52"/>
      <c r="K58" s="18"/>
      <c r="L58" s="29"/>
      <c r="M58" s="31"/>
      <c r="N58" s="29"/>
      <c r="O58" s="29"/>
      <c r="Q58" s="29"/>
      <c r="S58" s="29"/>
    </row>
    <row r="59" spans="1:22" x14ac:dyDescent="0.25">
      <c r="A59" s="29"/>
      <c r="B59" s="29"/>
      <c r="C59" s="29"/>
      <c r="D59" s="29"/>
      <c r="E59" s="31"/>
      <c r="G59" s="29"/>
      <c r="H59" s="52"/>
      <c r="I59" s="29"/>
      <c r="J59" s="52"/>
      <c r="K59" s="18"/>
      <c r="L59" s="29"/>
      <c r="M59" s="31"/>
      <c r="N59" s="29"/>
      <c r="O59" s="29"/>
      <c r="Q59" s="29"/>
      <c r="S59" s="29"/>
      <c r="T59" s="29"/>
      <c r="V59" s="29"/>
    </row>
    <row r="60" spans="1:22" x14ac:dyDescent="0.25">
      <c r="A60" s="29"/>
      <c r="B60" s="29"/>
      <c r="C60" s="29"/>
      <c r="D60" s="29"/>
      <c r="E60" s="31"/>
      <c r="G60" s="29"/>
      <c r="H60" s="52"/>
      <c r="I60" s="29"/>
      <c r="J60" s="52"/>
      <c r="K60" s="18"/>
      <c r="L60" s="29"/>
      <c r="M60" s="31"/>
      <c r="N60" s="29"/>
      <c r="O60" s="29"/>
      <c r="Q60" s="29"/>
      <c r="S60" s="29"/>
    </row>
    <row r="61" spans="1:22" x14ac:dyDescent="0.25">
      <c r="A61" s="29"/>
      <c r="B61" s="29"/>
      <c r="C61" s="29"/>
      <c r="D61" s="29"/>
      <c r="E61" s="31"/>
      <c r="G61" s="29"/>
      <c r="H61" s="52"/>
      <c r="I61" s="29"/>
      <c r="J61" s="52"/>
      <c r="K61" s="18"/>
      <c r="L61" s="29"/>
      <c r="M61" s="31"/>
      <c r="N61" s="29"/>
      <c r="O61" s="29"/>
      <c r="Q61" s="29"/>
      <c r="S61" s="29"/>
    </row>
    <row r="62" spans="1:22" x14ac:dyDescent="0.25">
      <c r="A62" s="29"/>
      <c r="B62" s="29"/>
      <c r="C62" s="29"/>
      <c r="D62" s="29"/>
      <c r="E62" s="31"/>
      <c r="G62" s="29"/>
      <c r="H62" s="52"/>
      <c r="I62" s="29"/>
      <c r="J62" s="52"/>
      <c r="K62" s="18"/>
      <c r="L62" s="29"/>
      <c r="M62" s="31"/>
      <c r="N62" s="29"/>
      <c r="O62" s="29"/>
      <c r="Q62" s="29"/>
      <c r="S62" s="29"/>
      <c r="T62" s="29"/>
    </row>
    <row r="63" spans="1:22" x14ac:dyDescent="0.25">
      <c r="A63" s="29"/>
      <c r="B63" s="29"/>
      <c r="C63" s="29"/>
      <c r="D63" s="29"/>
      <c r="E63" s="31"/>
      <c r="G63" s="29"/>
      <c r="H63" s="52"/>
      <c r="I63" s="29"/>
      <c r="J63" s="52"/>
      <c r="K63" s="18"/>
      <c r="L63" s="29"/>
      <c r="M63" s="31"/>
      <c r="N63" s="29"/>
      <c r="O63" s="29"/>
      <c r="Q63" s="29"/>
      <c r="S63" s="29"/>
      <c r="T63" s="29"/>
    </row>
    <row r="64" spans="1:22" x14ac:dyDescent="0.25">
      <c r="A64" s="29"/>
      <c r="B64" s="29"/>
      <c r="C64" s="29"/>
      <c r="D64" s="29"/>
      <c r="E64" s="31"/>
      <c r="G64" s="29"/>
      <c r="H64" s="52"/>
      <c r="I64" s="29"/>
      <c r="J64" s="52"/>
      <c r="K64" s="18"/>
      <c r="L64" s="29"/>
      <c r="M64" s="31"/>
      <c r="N64" s="29"/>
      <c r="O64" s="29"/>
      <c r="Q64" s="29"/>
      <c r="S64" s="29"/>
    </row>
    <row r="65" spans="1:22" x14ac:dyDescent="0.25">
      <c r="A65" s="29"/>
      <c r="B65" s="29"/>
      <c r="C65" s="29"/>
      <c r="D65" s="29"/>
      <c r="E65" s="31"/>
      <c r="G65" s="29"/>
      <c r="H65" s="52"/>
      <c r="I65" s="29"/>
      <c r="J65" s="52"/>
      <c r="K65" s="18"/>
      <c r="L65" s="29"/>
      <c r="M65" s="31"/>
      <c r="N65" s="29"/>
      <c r="O65" s="29"/>
      <c r="Q65" s="29"/>
      <c r="S65" s="29"/>
      <c r="T65" s="29"/>
    </row>
    <row r="66" spans="1:22" x14ac:dyDescent="0.25">
      <c r="A66" s="29"/>
      <c r="B66" s="29"/>
      <c r="C66" s="29"/>
      <c r="D66" s="29"/>
      <c r="E66" s="31"/>
      <c r="G66" s="29"/>
      <c r="H66" s="52"/>
      <c r="I66" s="29"/>
      <c r="J66" s="52"/>
      <c r="K66" s="18"/>
      <c r="L66" s="29"/>
      <c r="M66" s="31"/>
      <c r="N66" s="29"/>
      <c r="O66" s="29"/>
      <c r="Q66" s="29"/>
      <c r="S66" s="29"/>
      <c r="T66" s="29"/>
    </row>
    <row r="67" spans="1:22" x14ac:dyDescent="0.25">
      <c r="A67" s="29"/>
      <c r="B67" s="29"/>
      <c r="C67" s="29"/>
      <c r="D67" s="29"/>
      <c r="E67" s="31"/>
      <c r="G67" s="29"/>
      <c r="H67" s="52"/>
      <c r="I67" s="29"/>
      <c r="J67" s="52"/>
      <c r="K67" s="18"/>
      <c r="L67" s="29"/>
      <c r="M67" s="31"/>
      <c r="N67" s="29"/>
      <c r="O67" s="29"/>
      <c r="Q67" s="29"/>
      <c r="S67" s="29"/>
      <c r="T67" s="29"/>
    </row>
    <row r="68" spans="1:22" x14ac:dyDescent="0.25">
      <c r="A68" s="29"/>
      <c r="B68" s="29"/>
      <c r="C68" s="29"/>
      <c r="D68" s="29"/>
      <c r="E68" s="31"/>
      <c r="G68" s="29"/>
      <c r="H68" s="52"/>
      <c r="I68" s="29"/>
      <c r="J68" s="52"/>
      <c r="K68" s="18"/>
      <c r="L68" s="29"/>
      <c r="M68" s="31"/>
      <c r="N68" s="29"/>
      <c r="O68" s="29"/>
      <c r="Q68" s="29"/>
      <c r="S68" s="29"/>
    </row>
    <row r="69" spans="1:22" x14ac:dyDescent="0.25">
      <c r="A69" s="29"/>
      <c r="B69" s="29"/>
      <c r="C69" s="29"/>
      <c r="D69" s="29"/>
      <c r="E69" s="31"/>
      <c r="G69" s="29"/>
      <c r="H69" s="52"/>
      <c r="I69" s="29"/>
      <c r="J69" s="52"/>
      <c r="K69" s="18"/>
      <c r="L69" s="29"/>
      <c r="M69" s="31"/>
      <c r="N69" s="29"/>
      <c r="O69" s="29"/>
      <c r="Q69" s="29"/>
      <c r="S69" s="29"/>
    </row>
    <row r="70" spans="1:22" x14ac:dyDescent="0.25">
      <c r="A70" s="29"/>
      <c r="B70" s="29"/>
      <c r="C70" s="29"/>
      <c r="D70" s="29"/>
      <c r="E70" s="31"/>
      <c r="G70" s="29"/>
      <c r="H70" s="52"/>
      <c r="I70" s="29"/>
      <c r="J70" s="52"/>
      <c r="K70" s="18"/>
      <c r="L70" s="29"/>
      <c r="M70" s="31"/>
      <c r="N70" s="29"/>
      <c r="O70" s="29"/>
      <c r="Q70" s="29"/>
      <c r="S70" s="29"/>
      <c r="T70" s="29"/>
      <c r="V70" s="29"/>
    </row>
    <row r="71" spans="1:22" x14ac:dyDescent="0.25">
      <c r="A71" s="29"/>
      <c r="B71" s="29"/>
      <c r="C71" s="29"/>
      <c r="D71" s="29"/>
      <c r="E71" s="31"/>
      <c r="G71" s="29"/>
      <c r="H71" s="52"/>
      <c r="I71" s="29"/>
      <c r="J71" s="52"/>
      <c r="K71" s="18"/>
      <c r="L71" s="29"/>
      <c r="M71" s="31"/>
      <c r="N71" s="29"/>
      <c r="O71" s="29"/>
      <c r="Q71" s="29"/>
      <c r="S71" s="29"/>
      <c r="T71" s="29"/>
    </row>
    <row r="72" spans="1:22" x14ac:dyDescent="0.25">
      <c r="A72" s="29"/>
      <c r="B72" s="29"/>
      <c r="C72" s="29"/>
      <c r="D72" s="29"/>
      <c r="E72" s="31"/>
      <c r="G72" s="29"/>
      <c r="H72" s="52"/>
      <c r="I72" s="29"/>
      <c r="J72" s="52"/>
      <c r="K72" s="18"/>
      <c r="L72" s="29"/>
      <c r="M72" s="31"/>
      <c r="N72" s="29"/>
      <c r="O72" s="29"/>
      <c r="Q72" s="29"/>
      <c r="S72" s="29"/>
      <c r="T72" s="29"/>
      <c r="V72" s="29"/>
    </row>
    <row r="73" spans="1:22" x14ac:dyDescent="0.25">
      <c r="A73" s="29"/>
      <c r="B73" s="29"/>
      <c r="C73" s="29"/>
      <c r="D73" s="29"/>
      <c r="E73" s="31"/>
      <c r="G73" s="20"/>
      <c r="I73" s="22"/>
      <c r="J73" s="58"/>
      <c r="K73" s="18"/>
      <c r="L73" s="29"/>
      <c r="M73" s="31"/>
      <c r="N73" s="29"/>
      <c r="O73" s="29"/>
      <c r="Q73" s="29"/>
      <c r="S73" s="29"/>
      <c r="T73" s="29"/>
    </row>
    <row r="74" spans="1:22" x14ac:dyDescent="0.25">
      <c r="A74" s="29"/>
      <c r="B74" s="29"/>
      <c r="C74" s="29"/>
      <c r="D74" s="29"/>
      <c r="E74" s="31"/>
      <c r="G74" s="20"/>
      <c r="I74" s="22"/>
      <c r="J74" s="59"/>
      <c r="K74" s="26"/>
      <c r="L74" s="47"/>
      <c r="M74" s="31"/>
      <c r="N74" s="29"/>
      <c r="O74" s="29"/>
      <c r="Q74" s="29"/>
      <c r="S74" s="29"/>
      <c r="T74" s="29"/>
    </row>
    <row r="75" spans="1:22" x14ac:dyDescent="0.25">
      <c r="A75" s="29"/>
      <c r="B75" s="29"/>
      <c r="C75" s="29"/>
      <c r="D75" s="29"/>
      <c r="E75" s="31"/>
      <c r="G75" s="20"/>
      <c r="I75" s="22"/>
      <c r="J75" s="58"/>
      <c r="K75" s="18"/>
      <c r="L75" s="29"/>
      <c r="M75" s="31"/>
      <c r="N75" s="29"/>
      <c r="O75" s="29"/>
      <c r="Q75" s="29"/>
      <c r="S75" s="29"/>
      <c r="T75" s="29"/>
    </row>
    <row r="76" spans="1:22" x14ac:dyDescent="0.25">
      <c r="A76" s="40"/>
      <c r="B76" s="40"/>
      <c r="C76" s="40"/>
      <c r="D76" s="29"/>
      <c r="E76" s="31"/>
      <c r="G76" s="29"/>
      <c r="H76" s="52"/>
      <c r="I76" s="29"/>
      <c r="J76" s="52"/>
      <c r="K76" s="18"/>
      <c r="L76" s="29"/>
      <c r="M76" s="31"/>
      <c r="N76" s="29"/>
      <c r="O76" s="29"/>
      <c r="Q76" s="29"/>
      <c r="S76" s="29"/>
      <c r="T76" s="29"/>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workbookViewId="0"/>
  </sheetViews>
  <sheetFormatPr defaultRowHeight="15" x14ac:dyDescent="0.25"/>
  <cols>
    <col min="2" max="2" width="14.28515625" style="11" customWidth="1"/>
    <col min="3" max="3" width="15.7109375" style="11" customWidth="1"/>
    <col min="4" max="4" width="38.5703125" customWidth="1"/>
    <col min="5" max="5" width="14.85546875" customWidth="1"/>
    <col min="6" max="6" width="11.42578125" customWidth="1"/>
    <col min="7" max="7" width="11.140625" customWidth="1"/>
    <col min="8" max="8" width="18.7109375" customWidth="1"/>
    <col min="9" max="9" width="23.7109375" customWidth="1"/>
    <col min="10" max="10" width="57.5703125" customWidth="1"/>
  </cols>
  <sheetData>
    <row r="1" spans="1:10" s="1" customFormat="1" ht="60" x14ac:dyDescent="0.25">
      <c r="A1" s="1" t="s">
        <v>0</v>
      </c>
      <c r="B1" s="48" t="s">
        <v>263</v>
      </c>
      <c r="C1" s="48" t="s">
        <v>264</v>
      </c>
      <c r="D1" s="1" t="s">
        <v>1</v>
      </c>
      <c r="E1" s="1" t="s">
        <v>5</v>
      </c>
      <c r="F1" s="1" t="s">
        <v>3</v>
      </c>
      <c r="G1" s="1" t="s">
        <v>2</v>
      </c>
      <c r="H1" s="48" t="s">
        <v>267</v>
      </c>
      <c r="I1" s="1" t="s">
        <v>4</v>
      </c>
      <c r="J1" s="1" t="s">
        <v>7</v>
      </c>
    </row>
    <row r="2" spans="1:10" ht="45" x14ac:dyDescent="0.25">
      <c r="A2" t="s">
        <v>50</v>
      </c>
      <c r="B2" s="77" t="s">
        <v>474</v>
      </c>
      <c r="C2" s="77" t="s">
        <v>475</v>
      </c>
      <c r="D2" t="s">
        <v>70</v>
      </c>
      <c r="E2" s="2">
        <v>800</v>
      </c>
      <c r="F2" s="72">
        <f>E2/5280</f>
        <v>0.15151515151515152</v>
      </c>
      <c r="G2" s="105">
        <v>1963</v>
      </c>
      <c r="H2" t="s">
        <v>71</v>
      </c>
      <c r="I2" s="34" t="s">
        <v>145</v>
      </c>
      <c r="J2" s="34" t="s">
        <v>72</v>
      </c>
    </row>
    <row r="3" spans="1:10" ht="90" x14ac:dyDescent="0.25">
      <c r="A3" t="s">
        <v>50</v>
      </c>
      <c r="B3" s="77" t="s">
        <v>474</v>
      </c>
      <c r="C3" s="77" t="s">
        <v>478</v>
      </c>
      <c r="D3" t="s">
        <v>73</v>
      </c>
      <c r="E3" s="16">
        <v>6450</v>
      </c>
      <c r="F3" s="72">
        <f>E3/5280</f>
        <v>1.2215909090909092</v>
      </c>
      <c r="G3" s="2">
        <v>1935</v>
      </c>
      <c r="H3" s="33" t="s">
        <v>477</v>
      </c>
      <c r="I3" s="37" t="s">
        <v>479</v>
      </c>
      <c r="J3" s="34" t="s">
        <v>482</v>
      </c>
    </row>
    <row r="4" spans="1:10" ht="75" x14ac:dyDescent="0.25">
      <c r="A4" t="s">
        <v>50</v>
      </c>
      <c r="B4" s="42" t="s">
        <v>474</v>
      </c>
      <c r="C4" s="42" t="s">
        <v>51</v>
      </c>
      <c r="D4" t="s">
        <v>51</v>
      </c>
      <c r="E4" s="2" t="s">
        <v>249</v>
      </c>
      <c r="F4" s="4" t="s">
        <v>249</v>
      </c>
      <c r="G4" s="2" t="s">
        <v>158</v>
      </c>
      <c r="H4" s="67" t="s">
        <v>476</v>
      </c>
      <c r="I4" s="75" t="s">
        <v>480</v>
      </c>
      <c r="J4" s="34" t="s">
        <v>481</v>
      </c>
    </row>
    <row r="5" spans="1:10" x14ac:dyDescent="0.25">
      <c r="B5" s="42"/>
      <c r="C5" s="51"/>
    </row>
    <row r="6" spans="1:10" s="14" customFormat="1" x14ac:dyDescent="0.25">
      <c r="B6" s="42"/>
      <c r="C6" s="42"/>
      <c r="D6" s="5" t="s">
        <v>6</v>
      </c>
      <c r="E6" s="96">
        <f>SUM(E2:E4)</f>
        <v>7250</v>
      </c>
      <c r="F6" s="73">
        <f>E6/5280</f>
        <v>1.3731060606060606</v>
      </c>
      <c r="G6" s="102"/>
      <c r="H6" s="7"/>
      <c r="I6" s="97"/>
    </row>
    <row r="7" spans="1:10" x14ac:dyDescent="0.25">
      <c r="B7" s="29"/>
      <c r="C7" s="29"/>
      <c r="E7" s="16"/>
      <c r="F7" s="4"/>
      <c r="G7" s="2"/>
      <c r="H7" s="2"/>
      <c r="I7" s="8"/>
    </row>
    <row r="8" spans="1:10" x14ac:dyDescent="0.25">
      <c r="B8" s="29"/>
      <c r="C8" s="29"/>
      <c r="E8" s="5"/>
      <c r="F8" s="6"/>
      <c r="G8" s="2"/>
      <c r="H8" s="2"/>
    </row>
    <row r="9" spans="1:10" x14ac:dyDescent="0.25">
      <c r="A9" s="123" t="s">
        <v>247</v>
      </c>
      <c r="B9" s="124" t="s">
        <v>284</v>
      </c>
      <c r="C9" s="29"/>
      <c r="D9" s="11"/>
    </row>
    <row r="10" spans="1:10" x14ac:dyDescent="0.25">
      <c r="A10" s="70"/>
      <c r="B10" s="124" t="s">
        <v>248</v>
      </c>
      <c r="C10" s="29"/>
    </row>
    <row r="11" spans="1:10" x14ac:dyDescent="0.25">
      <c r="A11" s="107"/>
      <c r="B11" s="124" t="s">
        <v>1411</v>
      </c>
      <c r="C11" s="29"/>
      <c r="D11" s="124"/>
    </row>
    <row r="12" spans="1:10" x14ac:dyDescent="0.25">
      <c r="A12" s="11"/>
      <c r="B12" s="125" t="s">
        <v>484</v>
      </c>
      <c r="C12" s="29"/>
      <c r="D12" s="99"/>
    </row>
    <row r="13" spans="1:10" x14ac:dyDescent="0.25">
      <c r="C13" s="234" t="s">
        <v>483</v>
      </c>
      <c r="D13" s="124"/>
    </row>
    <row r="14" spans="1:10" x14ac:dyDescent="0.25">
      <c r="C14" s="29"/>
      <c r="D14" s="125"/>
    </row>
    <row r="15" spans="1:10" x14ac:dyDescent="0.25">
      <c r="B15" s="29"/>
      <c r="C15" s="29"/>
      <c r="D15" s="12"/>
    </row>
    <row r="16" spans="1:10" x14ac:dyDescent="0.25">
      <c r="B16" s="29"/>
      <c r="C16" s="29"/>
    </row>
    <row r="17" spans="2:3" x14ac:dyDescent="0.25">
      <c r="B17" s="29"/>
      <c r="C17" s="29"/>
    </row>
    <row r="18" spans="2:3" x14ac:dyDescent="0.25">
      <c r="B18" s="29"/>
      <c r="C18" s="29"/>
    </row>
    <row r="19" spans="2:3" x14ac:dyDescent="0.25">
      <c r="C19" s="123"/>
    </row>
    <row r="20" spans="2:3" x14ac:dyDescent="0.25">
      <c r="C20" s="70"/>
    </row>
    <row r="21" spans="2:3" x14ac:dyDescent="0.25">
      <c r="C21" s="107"/>
    </row>
    <row r="23" spans="2:3" x14ac:dyDescent="0.25">
      <c r="B23" s="29"/>
      <c r="C23" s="29"/>
    </row>
    <row r="24" spans="2:3" x14ac:dyDescent="0.25">
      <c r="B24" s="29"/>
      <c r="C24" s="29"/>
    </row>
    <row r="25" spans="2:3" x14ac:dyDescent="0.25">
      <c r="B25" s="29"/>
      <c r="C25" s="29"/>
    </row>
    <row r="26" spans="2:3" x14ac:dyDescent="0.25">
      <c r="B26" s="29"/>
      <c r="C26" s="29"/>
    </row>
    <row r="27" spans="2:3" x14ac:dyDescent="0.25">
      <c r="B27" s="29"/>
      <c r="C27" s="29"/>
    </row>
    <row r="28" spans="2:3" x14ac:dyDescent="0.25">
      <c r="B28" s="29"/>
      <c r="C28" s="29"/>
    </row>
    <row r="29" spans="2:3" x14ac:dyDescent="0.25">
      <c r="B29" s="29"/>
      <c r="C29" s="29"/>
    </row>
    <row r="30" spans="2:3" x14ac:dyDescent="0.25">
      <c r="B30" s="29"/>
      <c r="C30" s="29"/>
    </row>
    <row r="31" spans="2:3" x14ac:dyDescent="0.25">
      <c r="B31" s="29"/>
      <c r="C31" s="29"/>
    </row>
    <row r="32" spans="2:3" x14ac:dyDescent="0.25">
      <c r="B32" s="29"/>
      <c r="C32" s="29"/>
    </row>
    <row r="33" spans="2:3" x14ac:dyDescent="0.25">
      <c r="B33" s="29"/>
      <c r="C33" s="29"/>
    </row>
    <row r="34" spans="2:3" x14ac:dyDescent="0.25">
      <c r="B34" s="29"/>
      <c r="C34" s="29"/>
    </row>
    <row r="35" spans="2:3" x14ac:dyDescent="0.25">
      <c r="B35" s="29"/>
      <c r="C35" s="29"/>
    </row>
    <row r="36" spans="2:3" x14ac:dyDescent="0.25">
      <c r="B36" s="29"/>
      <c r="C36" s="29"/>
    </row>
    <row r="37" spans="2:3" x14ac:dyDescent="0.25">
      <c r="B37" s="29"/>
      <c r="C37" s="29"/>
    </row>
    <row r="38" spans="2:3" x14ac:dyDescent="0.25">
      <c r="B38" s="29"/>
      <c r="C38" s="29"/>
    </row>
    <row r="39" spans="2:3" x14ac:dyDescent="0.25">
      <c r="B39" s="29"/>
      <c r="C39" s="29"/>
    </row>
    <row r="40" spans="2:3" x14ac:dyDescent="0.25">
      <c r="B40" s="29"/>
      <c r="C40" s="29"/>
    </row>
    <row r="41" spans="2:3" x14ac:dyDescent="0.25">
      <c r="B41" s="29"/>
      <c r="C41" s="29"/>
    </row>
    <row r="42" spans="2:3" x14ac:dyDescent="0.25">
      <c r="B42" s="29"/>
      <c r="C42" s="29"/>
    </row>
    <row r="43" spans="2:3" x14ac:dyDescent="0.25">
      <c r="B43" s="29"/>
      <c r="C43" s="29"/>
    </row>
    <row r="44" spans="2:3" x14ac:dyDescent="0.25">
      <c r="B44" s="29"/>
      <c r="C44" s="29"/>
    </row>
    <row r="45" spans="2:3" x14ac:dyDescent="0.25">
      <c r="B45" s="29"/>
      <c r="C45" s="29"/>
    </row>
    <row r="46" spans="2:3" x14ac:dyDescent="0.25">
      <c r="B46" s="29"/>
      <c r="C46" s="29"/>
    </row>
    <row r="47" spans="2:3" x14ac:dyDescent="0.25">
      <c r="B47" s="29"/>
      <c r="C47" s="29"/>
    </row>
    <row r="48" spans="2:3" x14ac:dyDescent="0.25">
      <c r="B48" s="29"/>
      <c r="C48" s="29"/>
    </row>
    <row r="49" spans="2:3" x14ac:dyDescent="0.25">
      <c r="B49" s="29"/>
      <c r="C49" s="29"/>
    </row>
    <row r="50" spans="2:3" x14ac:dyDescent="0.25">
      <c r="B50" s="29"/>
      <c r="C50" s="29"/>
    </row>
    <row r="51" spans="2:3" x14ac:dyDescent="0.25">
      <c r="B51" s="29"/>
      <c r="C51" s="29"/>
    </row>
    <row r="52" spans="2:3" x14ac:dyDescent="0.25">
      <c r="B52" s="29"/>
      <c r="C52" s="29"/>
    </row>
    <row r="53" spans="2:3" x14ac:dyDescent="0.25">
      <c r="B53" s="29"/>
      <c r="C53" s="29"/>
    </row>
    <row r="54" spans="2:3" x14ac:dyDescent="0.25">
      <c r="B54" s="29"/>
      <c r="C54" s="29"/>
    </row>
    <row r="55" spans="2:3" x14ac:dyDescent="0.25">
      <c r="B55" s="29"/>
      <c r="C55" s="29"/>
    </row>
    <row r="56" spans="2:3" x14ac:dyDescent="0.25">
      <c r="B56" s="29"/>
      <c r="C56" s="29"/>
    </row>
    <row r="57" spans="2:3" x14ac:dyDescent="0.25">
      <c r="B57" s="29"/>
      <c r="C57" s="29"/>
    </row>
    <row r="58" spans="2:3" x14ac:dyDescent="0.25">
      <c r="B58" s="29"/>
      <c r="C58" s="29"/>
    </row>
    <row r="59" spans="2:3" x14ac:dyDescent="0.25">
      <c r="B59" s="29"/>
      <c r="C59" s="29"/>
    </row>
    <row r="60" spans="2:3" x14ac:dyDescent="0.25">
      <c r="B60" s="29"/>
      <c r="C60" s="29"/>
    </row>
    <row r="61" spans="2:3" x14ac:dyDescent="0.25">
      <c r="B61" s="29"/>
      <c r="C61" s="29"/>
    </row>
    <row r="62" spans="2:3" x14ac:dyDescent="0.25">
      <c r="B62" s="29"/>
      <c r="C62" s="29"/>
    </row>
    <row r="63" spans="2:3" x14ac:dyDescent="0.25">
      <c r="B63" s="29"/>
      <c r="C63" s="29"/>
    </row>
    <row r="64" spans="2:3" x14ac:dyDescent="0.25">
      <c r="B64" s="29"/>
      <c r="C64" s="29"/>
    </row>
    <row r="65" spans="2:3" x14ac:dyDescent="0.25">
      <c r="B65" s="29"/>
      <c r="C65" s="29"/>
    </row>
    <row r="66" spans="2:3" x14ac:dyDescent="0.25">
      <c r="B66" s="29"/>
      <c r="C66" s="29"/>
    </row>
    <row r="67" spans="2:3" x14ac:dyDescent="0.25">
      <c r="B67" s="29"/>
      <c r="C67" s="29"/>
    </row>
    <row r="68" spans="2:3" x14ac:dyDescent="0.25">
      <c r="B68" s="29"/>
      <c r="C68" s="29"/>
    </row>
    <row r="69" spans="2:3" x14ac:dyDescent="0.25">
      <c r="B69" s="29"/>
      <c r="C69" s="29"/>
    </row>
    <row r="70" spans="2:3" x14ac:dyDescent="0.25">
      <c r="B70" s="29"/>
      <c r="C70" s="29"/>
    </row>
    <row r="71" spans="2:3" x14ac:dyDescent="0.25">
      <c r="B71" s="29"/>
      <c r="C71" s="29"/>
    </row>
    <row r="72" spans="2:3" x14ac:dyDescent="0.25">
      <c r="B72" s="29"/>
      <c r="C72" s="29"/>
    </row>
    <row r="73" spans="2:3" x14ac:dyDescent="0.25">
      <c r="B73" s="29"/>
      <c r="C73" s="29"/>
    </row>
    <row r="74" spans="2:3" x14ac:dyDescent="0.25">
      <c r="B74" s="29"/>
      <c r="C74" s="29"/>
    </row>
    <row r="75" spans="2:3" x14ac:dyDescent="0.25">
      <c r="B75" s="29"/>
      <c r="C75" s="29"/>
    </row>
    <row r="76" spans="2:3" x14ac:dyDescent="0.25">
      <c r="B76" s="40"/>
      <c r="C76" s="40"/>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workbookViewId="0"/>
  </sheetViews>
  <sheetFormatPr defaultRowHeight="15" x14ac:dyDescent="0.25"/>
  <cols>
    <col min="2" max="2" width="14.28515625" style="11" customWidth="1"/>
    <col min="3" max="3" width="15.7109375" style="11" customWidth="1"/>
    <col min="4" max="4" width="38.5703125" style="34" customWidth="1"/>
    <col min="5" max="5" width="14.85546875" style="2" customWidth="1"/>
    <col min="6" max="6" width="11.42578125" style="105" customWidth="1"/>
    <col min="7" max="7" width="11.140625" style="2" customWidth="1"/>
    <col min="8" max="8" width="18.7109375" style="105" customWidth="1"/>
    <col min="9" max="9" width="33.28515625" style="33" customWidth="1"/>
    <col min="10" max="10" width="69.42578125" style="107" customWidth="1"/>
    <col min="11" max="11" width="58.7109375" customWidth="1"/>
  </cols>
  <sheetData>
    <row r="1" spans="1:11" s="1" customFormat="1" ht="60" x14ac:dyDescent="0.25">
      <c r="A1" s="1" t="s">
        <v>0</v>
      </c>
      <c r="B1" s="48" t="s">
        <v>263</v>
      </c>
      <c r="C1" s="48" t="s">
        <v>264</v>
      </c>
      <c r="D1" s="1" t="s">
        <v>1</v>
      </c>
      <c r="E1" s="1" t="s">
        <v>5</v>
      </c>
      <c r="F1" s="1" t="s">
        <v>3</v>
      </c>
      <c r="G1" s="1" t="s">
        <v>2</v>
      </c>
      <c r="H1" s="48" t="s">
        <v>267</v>
      </c>
      <c r="I1" s="1" t="s">
        <v>4</v>
      </c>
      <c r="J1" s="1" t="s">
        <v>7</v>
      </c>
    </row>
    <row r="2" spans="1:11" s="9" customFormat="1" ht="30" x14ac:dyDescent="0.25">
      <c r="A2" t="s">
        <v>12</v>
      </c>
      <c r="B2" s="77" t="s">
        <v>516</v>
      </c>
      <c r="C2" s="77" t="s">
        <v>486</v>
      </c>
      <c r="D2" s="9" t="s">
        <v>521</v>
      </c>
      <c r="E2" s="74">
        <v>55</v>
      </c>
      <c r="F2" s="115">
        <f t="shared" ref="F2:F8" si="0">E2/5280</f>
        <v>1.0416666666666666E-2</v>
      </c>
      <c r="G2" s="109" t="s">
        <v>158</v>
      </c>
      <c r="H2" s="15"/>
      <c r="I2" s="9" t="s">
        <v>196</v>
      </c>
      <c r="J2" s="130" t="s">
        <v>680</v>
      </c>
    </row>
    <row r="3" spans="1:11" s="9" customFormat="1" ht="30" x14ac:dyDescent="0.25">
      <c r="A3" t="s">
        <v>12</v>
      </c>
      <c r="B3" s="77" t="s">
        <v>516</v>
      </c>
      <c r="C3" s="77" t="s">
        <v>486</v>
      </c>
      <c r="D3" s="9" t="s">
        <v>522</v>
      </c>
      <c r="E3" s="74">
        <v>110</v>
      </c>
      <c r="F3" s="115">
        <f>E3/5280</f>
        <v>2.0833333333333332E-2</v>
      </c>
      <c r="G3" s="109" t="s">
        <v>158</v>
      </c>
      <c r="H3" s="15"/>
      <c r="I3" s="9" t="s">
        <v>196</v>
      </c>
      <c r="J3" s="130" t="s">
        <v>680</v>
      </c>
    </row>
    <row r="4" spans="1:11" s="9" customFormat="1" ht="45" x14ac:dyDescent="0.25">
      <c r="A4" t="s">
        <v>12</v>
      </c>
      <c r="B4" s="77" t="s">
        <v>516</v>
      </c>
      <c r="C4" s="42" t="s">
        <v>486</v>
      </c>
      <c r="D4" s="77" t="s">
        <v>523</v>
      </c>
      <c r="E4" s="109">
        <v>570</v>
      </c>
      <c r="F4" s="115">
        <f>E4/5280</f>
        <v>0.10795454545454546</v>
      </c>
      <c r="G4" s="74">
        <v>2000</v>
      </c>
      <c r="H4" s="15"/>
      <c r="I4" s="9" t="s">
        <v>196</v>
      </c>
      <c r="J4" s="130" t="s">
        <v>681</v>
      </c>
    </row>
    <row r="5" spans="1:11" s="9" customFormat="1" ht="90" x14ac:dyDescent="0.25">
      <c r="A5" s="9" t="s">
        <v>12</v>
      </c>
      <c r="B5" s="77" t="s">
        <v>516</v>
      </c>
      <c r="C5" s="51" t="s">
        <v>486</v>
      </c>
      <c r="D5" s="9" t="s">
        <v>2611</v>
      </c>
      <c r="E5" s="238">
        <v>2300</v>
      </c>
      <c r="F5" s="115">
        <f>E5/5280</f>
        <v>0.43560606060606061</v>
      </c>
      <c r="G5" s="74">
        <v>1953</v>
      </c>
      <c r="H5" s="15" t="s">
        <v>179</v>
      </c>
      <c r="I5" s="9" t="s">
        <v>287</v>
      </c>
      <c r="J5" s="130" t="s">
        <v>532</v>
      </c>
    </row>
    <row r="6" spans="1:11" s="9" customFormat="1" ht="60" x14ac:dyDescent="0.25">
      <c r="A6" t="s">
        <v>12</v>
      </c>
      <c r="B6" s="77" t="s">
        <v>516</v>
      </c>
      <c r="C6" s="42" t="s">
        <v>487</v>
      </c>
      <c r="D6" s="9" t="s">
        <v>525</v>
      </c>
      <c r="E6" s="238">
        <v>4000</v>
      </c>
      <c r="F6" s="115">
        <f t="shared" si="0"/>
        <v>0.75757575757575757</v>
      </c>
      <c r="G6" s="74">
        <v>1953</v>
      </c>
      <c r="H6" s="109" t="s">
        <v>178</v>
      </c>
      <c r="I6" s="9" t="s">
        <v>288</v>
      </c>
      <c r="J6" s="130" t="s">
        <v>531</v>
      </c>
      <c r="K6" s="37"/>
    </row>
    <row r="7" spans="1:11" ht="30" x14ac:dyDescent="0.25">
      <c r="A7" t="s">
        <v>12</v>
      </c>
      <c r="B7" s="77" t="s">
        <v>516</v>
      </c>
      <c r="C7" s="29" t="s">
        <v>487</v>
      </c>
      <c r="D7" s="34" t="s">
        <v>524</v>
      </c>
      <c r="E7" s="2">
        <v>135</v>
      </c>
      <c r="F7" s="115">
        <f t="shared" si="0"/>
        <v>2.556818181818182E-2</v>
      </c>
      <c r="G7" s="2" t="s">
        <v>158</v>
      </c>
      <c r="I7" s="33" t="s">
        <v>196</v>
      </c>
      <c r="J7" s="107" t="s">
        <v>680</v>
      </c>
    </row>
    <row r="8" spans="1:11" ht="30" x14ac:dyDescent="0.25">
      <c r="A8" t="s">
        <v>12</v>
      </c>
      <c r="B8" s="77" t="s">
        <v>516</v>
      </c>
      <c r="C8" s="29" t="s">
        <v>487</v>
      </c>
      <c r="D8" s="34" t="s">
        <v>526</v>
      </c>
      <c r="E8" s="2">
        <v>205</v>
      </c>
      <c r="F8" s="115">
        <f t="shared" si="0"/>
        <v>3.8825757575757576E-2</v>
      </c>
      <c r="G8" s="2" t="s">
        <v>158</v>
      </c>
      <c r="I8" s="33" t="s">
        <v>196</v>
      </c>
      <c r="J8" s="107" t="s">
        <v>680</v>
      </c>
    </row>
    <row r="9" spans="1:11" s="9" customFormat="1" ht="30" x14ac:dyDescent="0.25">
      <c r="A9" t="s">
        <v>12</v>
      </c>
      <c r="B9" s="77" t="s">
        <v>516</v>
      </c>
      <c r="C9" s="52" t="s">
        <v>488</v>
      </c>
      <c r="D9" s="9" t="s">
        <v>527</v>
      </c>
      <c r="E9" s="74" t="s">
        <v>249</v>
      </c>
      <c r="F9" s="109" t="s">
        <v>249</v>
      </c>
      <c r="G9" s="15">
        <v>1990</v>
      </c>
      <c r="H9" s="109">
        <v>1999</v>
      </c>
      <c r="I9" s="9" t="s">
        <v>289</v>
      </c>
      <c r="J9" s="130" t="s">
        <v>530</v>
      </c>
    </row>
    <row r="10" spans="1:11" ht="30" x14ac:dyDescent="0.25">
      <c r="A10" t="s">
        <v>12</v>
      </c>
      <c r="B10" s="77" t="s">
        <v>516</v>
      </c>
      <c r="C10" s="29" t="s">
        <v>489</v>
      </c>
      <c r="D10" s="34" t="s">
        <v>528</v>
      </c>
      <c r="E10" s="2">
        <v>755</v>
      </c>
      <c r="F10" s="115">
        <f t="shared" ref="F10:F13" si="1">E10/5280</f>
        <v>0.14299242424242425</v>
      </c>
      <c r="G10" s="2">
        <v>1957</v>
      </c>
      <c r="I10" s="33" t="s">
        <v>196</v>
      </c>
      <c r="J10" s="107" t="s">
        <v>680</v>
      </c>
    </row>
    <row r="11" spans="1:11" s="9" customFormat="1" ht="30" x14ac:dyDescent="0.25">
      <c r="A11" t="s">
        <v>12</v>
      </c>
      <c r="B11" s="77" t="s">
        <v>516</v>
      </c>
      <c r="C11" s="29" t="s">
        <v>2604</v>
      </c>
      <c r="D11" s="9" t="s">
        <v>2610</v>
      </c>
      <c r="E11" s="238">
        <v>2600</v>
      </c>
      <c r="F11" s="115">
        <f>E11/5280</f>
        <v>0.49242424242424243</v>
      </c>
      <c r="G11" s="74">
        <v>1954</v>
      </c>
      <c r="H11" s="109"/>
      <c r="I11" s="9" t="s">
        <v>290</v>
      </c>
      <c r="J11" s="130" t="s">
        <v>529</v>
      </c>
    </row>
    <row r="12" spans="1:11" s="9" customFormat="1" ht="45" x14ac:dyDescent="0.25">
      <c r="A12" t="s">
        <v>12</v>
      </c>
      <c r="B12" s="9" t="s">
        <v>517</v>
      </c>
      <c r="C12" s="29" t="s">
        <v>490</v>
      </c>
      <c r="D12" s="9" t="s">
        <v>2609</v>
      </c>
      <c r="E12" s="238">
        <v>15480</v>
      </c>
      <c r="F12" s="115">
        <f t="shared" si="1"/>
        <v>2.9318181818181817</v>
      </c>
      <c r="G12" s="74">
        <v>1954</v>
      </c>
      <c r="H12" s="109">
        <v>1991</v>
      </c>
      <c r="I12" s="9" t="s">
        <v>288</v>
      </c>
      <c r="J12" s="130" t="s">
        <v>199</v>
      </c>
    </row>
    <row r="13" spans="1:11" s="9" customFormat="1" ht="45" x14ac:dyDescent="0.25">
      <c r="A13" t="s">
        <v>12</v>
      </c>
      <c r="B13" s="108" t="s">
        <v>517</v>
      </c>
      <c r="C13" s="29" t="s">
        <v>491</v>
      </c>
      <c r="D13" s="9" t="s">
        <v>2608</v>
      </c>
      <c r="E13" s="238">
        <v>4250</v>
      </c>
      <c r="F13" s="115">
        <f t="shared" si="1"/>
        <v>0.80492424242424243</v>
      </c>
      <c r="G13" s="74">
        <v>1956</v>
      </c>
      <c r="H13" s="109">
        <v>1959</v>
      </c>
      <c r="I13" s="9" t="s">
        <v>288</v>
      </c>
      <c r="J13" s="130" t="s">
        <v>252</v>
      </c>
      <c r="K13" s="37"/>
    </row>
    <row r="14" spans="1:11" s="108" customFormat="1" ht="105" x14ac:dyDescent="0.25">
      <c r="A14" s="104" t="s">
        <v>12</v>
      </c>
      <c r="B14" s="108" t="s">
        <v>517</v>
      </c>
      <c r="C14" s="29" t="s">
        <v>491</v>
      </c>
      <c r="D14" s="108" t="s">
        <v>2605</v>
      </c>
      <c r="E14" s="109">
        <f>2620</f>
        <v>2620</v>
      </c>
      <c r="F14" s="115" t="s">
        <v>853</v>
      </c>
      <c r="G14" s="109" t="s">
        <v>536</v>
      </c>
      <c r="H14" s="109"/>
      <c r="I14" s="108" t="s">
        <v>534</v>
      </c>
      <c r="J14" s="122" t="s">
        <v>2607</v>
      </c>
      <c r="K14" s="37"/>
    </row>
    <row r="15" spans="1:11" s="108" customFormat="1" ht="105" x14ac:dyDescent="0.25">
      <c r="A15" s="104" t="s">
        <v>12</v>
      </c>
      <c r="B15" s="108" t="s">
        <v>517</v>
      </c>
      <c r="C15" s="29" t="s">
        <v>491</v>
      </c>
      <c r="D15" s="108" t="s">
        <v>2606</v>
      </c>
      <c r="E15" s="109">
        <f>1060</f>
        <v>1060</v>
      </c>
      <c r="F15" s="115" t="s">
        <v>853</v>
      </c>
      <c r="G15" s="109" t="s">
        <v>536</v>
      </c>
      <c r="H15" s="109"/>
      <c r="I15" s="108" t="s">
        <v>534</v>
      </c>
      <c r="J15" s="122" t="s">
        <v>2607</v>
      </c>
      <c r="K15" s="37"/>
    </row>
    <row r="16" spans="1:11" s="9" customFormat="1" ht="30" x14ac:dyDescent="0.25">
      <c r="A16" t="s">
        <v>12</v>
      </c>
      <c r="B16" s="108" t="s">
        <v>517</v>
      </c>
      <c r="C16" s="29" t="s">
        <v>492</v>
      </c>
      <c r="D16" s="9" t="s">
        <v>533</v>
      </c>
      <c r="E16" s="74" t="s">
        <v>249</v>
      </c>
      <c r="F16" s="109" t="s">
        <v>249</v>
      </c>
      <c r="G16" s="74">
        <v>1996</v>
      </c>
      <c r="H16" s="109"/>
      <c r="I16" s="9" t="s">
        <v>290</v>
      </c>
      <c r="J16" s="130" t="s">
        <v>45</v>
      </c>
    </row>
    <row r="17" spans="1:11" s="9" customFormat="1" ht="45" x14ac:dyDescent="0.25">
      <c r="A17" t="s">
        <v>12</v>
      </c>
      <c r="B17" s="108" t="s">
        <v>518</v>
      </c>
      <c r="C17" s="29" t="s">
        <v>493</v>
      </c>
      <c r="D17" s="9" t="s">
        <v>2612</v>
      </c>
      <c r="E17" s="238">
        <v>8500</v>
      </c>
      <c r="F17" s="115">
        <f t="shared" ref="F17:F18" si="2">E17/5280</f>
        <v>1.6098484848484849</v>
      </c>
      <c r="G17" s="74">
        <v>1948</v>
      </c>
      <c r="H17" s="109" t="s">
        <v>76</v>
      </c>
      <c r="I17" s="9" t="s">
        <v>288</v>
      </c>
      <c r="J17" s="130" t="s">
        <v>152</v>
      </c>
    </row>
    <row r="18" spans="1:11" s="9" customFormat="1" ht="45" x14ac:dyDescent="0.25">
      <c r="A18" t="s">
        <v>12</v>
      </c>
      <c r="B18" s="29" t="s">
        <v>518</v>
      </c>
      <c r="C18" s="29" t="s">
        <v>494</v>
      </c>
      <c r="D18" s="9" t="s">
        <v>540</v>
      </c>
      <c r="E18" s="238">
        <v>2600</v>
      </c>
      <c r="F18" s="115">
        <f t="shared" si="2"/>
        <v>0.49242424242424243</v>
      </c>
      <c r="G18" s="74">
        <v>1959</v>
      </c>
      <c r="H18" s="109">
        <v>1969</v>
      </c>
      <c r="I18" s="9" t="s">
        <v>288</v>
      </c>
      <c r="J18" s="130" t="s">
        <v>153</v>
      </c>
    </row>
    <row r="19" spans="1:11" ht="30" x14ac:dyDescent="0.25">
      <c r="A19" t="s">
        <v>12</v>
      </c>
      <c r="B19" s="29" t="s">
        <v>500</v>
      </c>
      <c r="C19" s="29" t="s">
        <v>495</v>
      </c>
      <c r="D19" s="34" t="s">
        <v>2613</v>
      </c>
      <c r="E19" s="16">
        <v>6900</v>
      </c>
      <c r="F19" s="115">
        <f>E19/5280</f>
        <v>1.3068181818181819</v>
      </c>
      <c r="G19" s="67">
        <v>1970</v>
      </c>
      <c r="I19" s="33" t="s">
        <v>290</v>
      </c>
      <c r="J19" s="112" t="s">
        <v>77</v>
      </c>
    </row>
    <row r="20" spans="1:11" s="9" customFormat="1" ht="30" x14ac:dyDescent="0.25">
      <c r="A20" t="s">
        <v>12</v>
      </c>
      <c r="B20" s="29" t="s">
        <v>518</v>
      </c>
      <c r="C20" s="29" t="s">
        <v>496</v>
      </c>
      <c r="D20" s="9" t="s">
        <v>541</v>
      </c>
      <c r="E20" s="238">
        <v>1032</v>
      </c>
      <c r="F20" s="115">
        <f>E20/5280</f>
        <v>0.19545454545454546</v>
      </c>
      <c r="G20" s="74" t="s">
        <v>158</v>
      </c>
      <c r="H20" s="109" t="s">
        <v>537</v>
      </c>
      <c r="I20" s="77" t="s">
        <v>538</v>
      </c>
      <c r="J20" s="130" t="s">
        <v>539</v>
      </c>
    </row>
    <row r="21" spans="1:11" s="9" customFormat="1" ht="45" x14ac:dyDescent="0.25">
      <c r="A21" t="s">
        <v>12</v>
      </c>
      <c r="B21" s="29" t="s">
        <v>500</v>
      </c>
      <c r="C21" s="29" t="s">
        <v>497</v>
      </c>
      <c r="D21" s="9" t="s">
        <v>542</v>
      </c>
      <c r="E21" s="238">
        <v>2500</v>
      </c>
      <c r="F21" s="115">
        <f>E21/5280</f>
        <v>0.47348484848484851</v>
      </c>
      <c r="G21" s="74">
        <v>1967</v>
      </c>
      <c r="H21" s="109"/>
      <c r="I21" s="9" t="s">
        <v>288</v>
      </c>
      <c r="J21" s="130" t="s">
        <v>78</v>
      </c>
    </row>
    <row r="22" spans="1:11" s="108" customFormat="1" ht="45" x14ac:dyDescent="0.25">
      <c r="A22" s="104" t="s">
        <v>12</v>
      </c>
      <c r="B22" s="29" t="s">
        <v>500</v>
      </c>
      <c r="C22" s="29" t="s">
        <v>498</v>
      </c>
      <c r="D22" s="108" t="s">
        <v>544</v>
      </c>
      <c r="E22" s="109" t="s">
        <v>249</v>
      </c>
      <c r="F22" s="115" t="s">
        <v>249</v>
      </c>
      <c r="G22" s="109">
        <v>2007</v>
      </c>
      <c r="H22" s="109" t="s">
        <v>545</v>
      </c>
      <c r="I22" s="108" t="s">
        <v>546</v>
      </c>
      <c r="J22" s="130" t="s">
        <v>547</v>
      </c>
    </row>
    <row r="23" spans="1:11" s="9" customFormat="1" ht="30" x14ac:dyDescent="0.25">
      <c r="A23" t="s">
        <v>12</v>
      </c>
      <c r="B23" s="29" t="s">
        <v>500</v>
      </c>
      <c r="C23" s="29" t="s">
        <v>498</v>
      </c>
      <c r="D23" s="75" t="s">
        <v>543</v>
      </c>
      <c r="E23" s="74" t="s">
        <v>249</v>
      </c>
      <c r="F23" s="109" t="s">
        <v>249</v>
      </c>
      <c r="G23" s="74">
        <v>1987</v>
      </c>
      <c r="H23" s="109"/>
      <c r="I23" s="9" t="s">
        <v>290</v>
      </c>
      <c r="J23" s="130" t="s">
        <v>85</v>
      </c>
    </row>
    <row r="24" spans="1:11" s="9" customFormat="1" ht="129.75" customHeight="1" x14ac:dyDescent="0.25">
      <c r="A24" t="s">
        <v>12</v>
      </c>
      <c r="B24" s="29" t="s">
        <v>500</v>
      </c>
      <c r="C24" s="107" t="s">
        <v>499</v>
      </c>
      <c r="D24" s="9" t="s">
        <v>2614</v>
      </c>
      <c r="E24" s="238">
        <v>1250</v>
      </c>
      <c r="F24" s="115">
        <f>E24/5280</f>
        <v>0.23674242424242425</v>
      </c>
      <c r="G24" s="109">
        <v>1992</v>
      </c>
      <c r="H24" s="109" t="s">
        <v>192</v>
      </c>
      <c r="I24" s="9" t="s">
        <v>191</v>
      </c>
      <c r="J24" s="364" t="s">
        <v>193</v>
      </c>
      <c r="K24" s="364"/>
    </row>
    <row r="25" spans="1:11" s="9" customFormat="1" ht="30" x14ac:dyDescent="0.25">
      <c r="A25" t="s">
        <v>12</v>
      </c>
      <c r="B25" s="29" t="s">
        <v>500</v>
      </c>
      <c r="C25" s="29" t="s">
        <v>500</v>
      </c>
      <c r="D25" s="9" t="s">
        <v>548</v>
      </c>
      <c r="E25" s="238">
        <v>1300</v>
      </c>
      <c r="F25" s="115">
        <f>E25/5280</f>
        <v>0.24621212121212122</v>
      </c>
      <c r="G25" s="74">
        <v>1963</v>
      </c>
      <c r="H25" s="109"/>
      <c r="I25" s="9" t="s">
        <v>290</v>
      </c>
      <c r="J25" s="130" t="s">
        <v>81</v>
      </c>
    </row>
    <row r="26" spans="1:11" s="9" customFormat="1" ht="30" x14ac:dyDescent="0.25">
      <c r="A26" t="s">
        <v>12</v>
      </c>
      <c r="B26" s="29" t="s">
        <v>505</v>
      </c>
      <c r="C26" s="29" t="s">
        <v>501</v>
      </c>
      <c r="D26" s="9" t="s">
        <v>549</v>
      </c>
      <c r="E26" s="74" t="s">
        <v>249</v>
      </c>
      <c r="F26" s="109" t="s">
        <v>249</v>
      </c>
      <c r="G26" s="74">
        <v>1966</v>
      </c>
      <c r="H26" s="109"/>
      <c r="I26" s="9" t="s">
        <v>290</v>
      </c>
      <c r="J26" s="130" t="s">
        <v>46</v>
      </c>
    </row>
    <row r="27" spans="1:11" s="236" customFormat="1" ht="60" x14ac:dyDescent="0.25">
      <c r="A27" s="142" t="s">
        <v>12</v>
      </c>
      <c r="B27" s="137" t="s">
        <v>505</v>
      </c>
      <c r="C27" s="137" t="s">
        <v>501</v>
      </c>
      <c r="D27" s="236" t="s">
        <v>552</v>
      </c>
      <c r="E27" s="239">
        <v>5000</v>
      </c>
      <c r="F27" s="240">
        <f>E27/5280</f>
        <v>0.94696969696969702</v>
      </c>
      <c r="G27" s="153">
        <v>2016</v>
      </c>
      <c r="H27" s="153"/>
      <c r="I27" s="236" t="s">
        <v>551</v>
      </c>
      <c r="J27" s="237" t="s">
        <v>550</v>
      </c>
    </row>
    <row r="28" spans="1:11" s="77" customFormat="1" ht="45" x14ac:dyDescent="0.25">
      <c r="A28" s="104" t="s">
        <v>12</v>
      </c>
      <c r="B28" s="29" t="s">
        <v>505</v>
      </c>
      <c r="C28" s="29" t="s">
        <v>501</v>
      </c>
      <c r="D28" s="57" t="s">
        <v>553</v>
      </c>
      <c r="E28" s="242">
        <v>519</v>
      </c>
      <c r="F28" s="72">
        <f t="shared" ref="F28:F37" si="3">E28/5280</f>
        <v>9.8295454545454547E-2</v>
      </c>
      <c r="G28" s="10">
        <v>2015</v>
      </c>
      <c r="H28" s="86"/>
      <c r="I28" s="57" t="s">
        <v>563</v>
      </c>
      <c r="J28" s="107" t="s">
        <v>565</v>
      </c>
    </row>
    <row r="29" spans="1:11" s="77" customFormat="1" ht="45" x14ac:dyDescent="0.25">
      <c r="A29" s="104" t="s">
        <v>12</v>
      </c>
      <c r="B29" s="29" t="s">
        <v>505</v>
      </c>
      <c r="C29" s="29" t="s">
        <v>501</v>
      </c>
      <c r="D29" s="57" t="s">
        <v>554</v>
      </c>
      <c r="E29" s="242">
        <v>55</v>
      </c>
      <c r="F29" s="72">
        <f t="shared" si="3"/>
        <v>1.0416666666666666E-2</v>
      </c>
      <c r="G29" s="10">
        <v>2015</v>
      </c>
      <c r="H29" s="86"/>
      <c r="I29" s="57" t="s">
        <v>563</v>
      </c>
      <c r="J29" s="107" t="s">
        <v>565</v>
      </c>
    </row>
    <row r="30" spans="1:11" s="77" customFormat="1" ht="45" x14ac:dyDescent="0.25">
      <c r="A30" s="104" t="s">
        <v>12</v>
      </c>
      <c r="B30" s="29" t="s">
        <v>505</v>
      </c>
      <c r="C30" s="29" t="s">
        <v>501</v>
      </c>
      <c r="D30" s="57" t="s">
        <v>555</v>
      </c>
      <c r="E30" s="242">
        <v>273</v>
      </c>
      <c r="F30" s="72">
        <f t="shared" si="3"/>
        <v>5.1704545454545454E-2</v>
      </c>
      <c r="G30" s="10">
        <v>2015</v>
      </c>
      <c r="H30" s="86"/>
      <c r="I30" s="57" t="s">
        <v>563</v>
      </c>
      <c r="J30" s="107" t="s">
        <v>565</v>
      </c>
    </row>
    <row r="31" spans="1:11" s="77" customFormat="1" ht="45" x14ac:dyDescent="0.25">
      <c r="A31" s="104" t="s">
        <v>12</v>
      </c>
      <c r="B31" s="29" t="s">
        <v>505</v>
      </c>
      <c r="C31" s="29" t="s">
        <v>501</v>
      </c>
      <c r="D31" s="57" t="s">
        <v>556</v>
      </c>
      <c r="E31" s="242">
        <v>124</v>
      </c>
      <c r="F31" s="72">
        <f t="shared" si="3"/>
        <v>2.3484848484848483E-2</v>
      </c>
      <c r="G31" s="10">
        <v>2015</v>
      </c>
      <c r="H31" s="86"/>
      <c r="I31" s="57" t="s">
        <v>563</v>
      </c>
      <c r="J31" s="107" t="s">
        <v>565</v>
      </c>
    </row>
    <row r="32" spans="1:11" s="77" customFormat="1" ht="45" x14ac:dyDescent="0.25">
      <c r="A32" s="104" t="s">
        <v>12</v>
      </c>
      <c r="B32" s="29" t="s">
        <v>505</v>
      </c>
      <c r="C32" s="29" t="s">
        <v>501</v>
      </c>
      <c r="D32" s="57" t="s">
        <v>557</v>
      </c>
      <c r="E32" s="242">
        <v>103</v>
      </c>
      <c r="F32" s="72">
        <f t="shared" si="3"/>
        <v>1.9507575757575758E-2</v>
      </c>
      <c r="G32" s="10">
        <v>2015</v>
      </c>
      <c r="H32" s="86"/>
      <c r="I32" s="57" t="s">
        <v>563</v>
      </c>
      <c r="J32" s="107" t="s">
        <v>565</v>
      </c>
    </row>
    <row r="33" spans="1:10" s="77" customFormat="1" ht="45" x14ac:dyDescent="0.25">
      <c r="A33" s="104" t="s">
        <v>12</v>
      </c>
      <c r="B33" s="29" t="s">
        <v>505</v>
      </c>
      <c r="C33" s="29" t="s">
        <v>501</v>
      </c>
      <c r="D33" s="57" t="s">
        <v>558</v>
      </c>
      <c r="E33" s="242">
        <v>142</v>
      </c>
      <c r="F33" s="72">
        <f t="shared" si="3"/>
        <v>2.6893939393939394E-2</v>
      </c>
      <c r="G33" s="10">
        <v>2015</v>
      </c>
      <c r="H33" s="86"/>
      <c r="I33" s="57" t="s">
        <v>563</v>
      </c>
      <c r="J33" s="107" t="s">
        <v>565</v>
      </c>
    </row>
    <row r="34" spans="1:10" s="9" customFormat="1" ht="45" x14ac:dyDescent="0.25">
      <c r="A34" s="104" t="s">
        <v>12</v>
      </c>
      <c r="B34" s="29" t="s">
        <v>505</v>
      </c>
      <c r="C34" s="29" t="s">
        <v>501</v>
      </c>
      <c r="D34" s="57" t="s">
        <v>559</v>
      </c>
      <c r="E34" s="242">
        <v>200</v>
      </c>
      <c r="F34" s="72">
        <f t="shared" si="3"/>
        <v>3.787878787878788E-2</v>
      </c>
      <c r="G34" s="10">
        <v>2015</v>
      </c>
      <c r="H34" s="109"/>
      <c r="I34" s="57" t="s">
        <v>563</v>
      </c>
      <c r="J34" s="107" t="s">
        <v>565</v>
      </c>
    </row>
    <row r="35" spans="1:10" s="108" customFormat="1" ht="45" x14ac:dyDescent="0.25">
      <c r="A35" s="104" t="s">
        <v>12</v>
      </c>
      <c r="B35" s="29" t="s">
        <v>505</v>
      </c>
      <c r="C35" s="29" t="s">
        <v>501</v>
      </c>
      <c r="D35" s="57" t="s">
        <v>560</v>
      </c>
      <c r="E35" s="242">
        <v>715</v>
      </c>
      <c r="F35" s="72">
        <f t="shared" si="3"/>
        <v>0.13541666666666666</v>
      </c>
      <c r="G35" s="10">
        <v>2015</v>
      </c>
      <c r="H35" s="109"/>
      <c r="I35" s="57" t="s">
        <v>563</v>
      </c>
      <c r="J35" s="107" t="s">
        <v>565</v>
      </c>
    </row>
    <row r="36" spans="1:10" s="108" customFormat="1" ht="45" x14ac:dyDescent="0.25">
      <c r="A36" s="104" t="s">
        <v>12</v>
      </c>
      <c r="B36" s="29" t="s">
        <v>505</v>
      </c>
      <c r="C36" s="29" t="s">
        <v>501</v>
      </c>
      <c r="D36" s="57" t="s">
        <v>561</v>
      </c>
      <c r="E36" s="242">
        <v>313</v>
      </c>
      <c r="F36" s="72">
        <f t="shared" si="3"/>
        <v>5.928030303030303E-2</v>
      </c>
      <c r="G36" s="10">
        <v>2015</v>
      </c>
      <c r="H36" s="109"/>
      <c r="I36" s="57" t="s">
        <v>563</v>
      </c>
      <c r="J36" s="107" t="s">
        <v>565</v>
      </c>
    </row>
    <row r="37" spans="1:10" s="108" customFormat="1" ht="45" x14ac:dyDescent="0.25">
      <c r="A37" s="104" t="s">
        <v>12</v>
      </c>
      <c r="B37" s="29" t="s">
        <v>505</v>
      </c>
      <c r="C37" s="29" t="s">
        <v>501</v>
      </c>
      <c r="D37" s="57" t="s">
        <v>562</v>
      </c>
      <c r="E37" s="242">
        <v>112</v>
      </c>
      <c r="F37" s="72">
        <f t="shared" si="3"/>
        <v>2.1212121212121213E-2</v>
      </c>
      <c r="G37" s="10">
        <v>2015</v>
      </c>
      <c r="H37" s="109"/>
      <c r="I37" s="57" t="s">
        <v>564</v>
      </c>
      <c r="J37" s="107" t="s">
        <v>565</v>
      </c>
    </row>
    <row r="38" spans="1:10" s="9" customFormat="1" ht="75" x14ac:dyDescent="0.25">
      <c r="A38" t="s">
        <v>12</v>
      </c>
      <c r="B38" s="29" t="s">
        <v>505</v>
      </c>
      <c r="C38" s="29" t="s">
        <v>502</v>
      </c>
      <c r="D38" s="110" t="s">
        <v>566</v>
      </c>
      <c r="E38" s="74" t="s">
        <v>249</v>
      </c>
      <c r="F38" s="109" t="s">
        <v>249</v>
      </c>
      <c r="G38" s="74">
        <v>1988</v>
      </c>
      <c r="H38" s="109" t="s">
        <v>567</v>
      </c>
      <c r="I38" s="9" t="s">
        <v>568</v>
      </c>
      <c r="J38" s="130" t="s">
        <v>569</v>
      </c>
    </row>
    <row r="39" spans="1:10" s="108" customFormat="1" ht="45" x14ac:dyDescent="0.25">
      <c r="A39" s="104" t="s">
        <v>12</v>
      </c>
      <c r="B39" s="11" t="s">
        <v>505</v>
      </c>
      <c r="C39" s="11" t="s">
        <v>570</v>
      </c>
      <c r="D39" s="57" t="s">
        <v>571</v>
      </c>
      <c r="E39" s="242">
        <v>149</v>
      </c>
      <c r="F39" s="72">
        <f t="shared" ref="F39:F51" si="4">E39/5280</f>
        <v>2.8219696969696971E-2</v>
      </c>
      <c r="G39" s="10">
        <v>2015</v>
      </c>
      <c r="H39" s="109"/>
      <c r="I39" s="57" t="s">
        <v>563</v>
      </c>
      <c r="J39" s="107" t="s">
        <v>565</v>
      </c>
    </row>
    <row r="40" spans="1:10" s="108" customFormat="1" ht="45" x14ac:dyDescent="0.25">
      <c r="A40" s="104" t="s">
        <v>12</v>
      </c>
      <c r="B40" s="11" t="s">
        <v>505</v>
      </c>
      <c r="C40" s="11" t="s">
        <v>570</v>
      </c>
      <c r="D40" s="57" t="s">
        <v>572</v>
      </c>
      <c r="E40" s="242">
        <v>506</v>
      </c>
      <c r="F40" s="72">
        <f t="shared" si="4"/>
        <v>9.583333333333334E-2</v>
      </c>
      <c r="G40" s="10">
        <v>2015</v>
      </c>
      <c r="H40" s="109"/>
      <c r="I40" s="57" t="s">
        <v>563</v>
      </c>
      <c r="J40" s="107" t="s">
        <v>565</v>
      </c>
    </row>
    <row r="41" spans="1:10" s="108" customFormat="1" ht="45" x14ac:dyDescent="0.25">
      <c r="A41" s="104" t="s">
        <v>12</v>
      </c>
      <c r="B41" s="11" t="s">
        <v>505</v>
      </c>
      <c r="C41" s="11" t="s">
        <v>570</v>
      </c>
      <c r="D41" s="57" t="s">
        <v>573</v>
      </c>
      <c r="E41" s="242">
        <v>696</v>
      </c>
      <c r="F41" s="72">
        <f t="shared" si="4"/>
        <v>0.13181818181818181</v>
      </c>
      <c r="G41" s="10">
        <v>2015</v>
      </c>
      <c r="H41" s="109"/>
      <c r="I41" s="57" t="s">
        <v>563</v>
      </c>
      <c r="J41" s="107" t="s">
        <v>565</v>
      </c>
    </row>
    <row r="42" spans="1:10" s="108" customFormat="1" ht="45" x14ac:dyDescent="0.25">
      <c r="A42" s="104" t="s">
        <v>12</v>
      </c>
      <c r="B42" s="11" t="s">
        <v>505</v>
      </c>
      <c r="C42" s="11" t="s">
        <v>570</v>
      </c>
      <c r="D42" s="57" t="s">
        <v>574</v>
      </c>
      <c r="E42" s="242">
        <v>871</v>
      </c>
      <c r="F42" s="72">
        <f t="shared" si="4"/>
        <v>0.1649621212121212</v>
      </c>
      <c r="G42" s="10">
        <v>2015</v>
      </c>
      <c r="H42" s="109"/>
      <c r="I42" s="57" t="s">
        <v>563</v>
      </c>
      <c r="J42" s="107" t="s">
        <v>565</v>
      </c>
    </row>
    <row r="43" spans="1:10" s="108" customFormat="1" ht="45" x14ac:dyDescent="0.25">
      <c r="A43" s="104" t="s">
        <v>12</v>
      </c>
      <c r="B43" s="11" t="s">
        <v>505</v>
      </c>
      <c r="C43" s="11" t="s">
        <v>570</v>
      </c>
      <c r="D43" s="57" t="s">
        <v>575</v>
      </c>
      <c r="E43" s="242">
        <v>414</v>
      </c>
      <c r="F43" s="72">
        <f t="shared" si="4"/>
        <v>7.8409090909090914E-2</v>
      </c>
      <c r="G43" s="10">
        <v>2015</v>
      </c>
      <c r="H43" s="109"/>
      <c r="I43" s="57" t="s">
        <v>563</v>
      </c>
      <c r="J43" s="107" t="s">
        <v>565</v>
      </c>
    </row>
    <row r="44" spans="1:10" s="108" customFormat="1" ht="45" x14ac:dyDescent="0.25">
      <c r="A44" s="104" t="s">
        <v>12</v>
      </c>
      <c r="B44" s="11" t="s">
        <v>505</v>
      </c>
      <c r="C44" s="11" t="s">
        <v>570</v>
      </c>
      <c r="D44" s="57" t="s">
        <v>576</v>
      </c>
      <c r="E44" s="242">
        <v>98</v>
      </c>
      <c r="F44" s="72">
        <f t="shared" si="4"/>
        <v>1.8560606060606062E-2</v>
      </c>
      <c r="G44" s="10">
        <v>2015</v>
      </c>
      <c r="H44" s="109"/>
      <c r="I44" s="57" t="s">
        <v>563</v>
      </c>
      <c r="J44" s="107" t="s">
        <v>565</v>
      </c>
    </row>
    <row r="45" spans="1:10" s="108" customFormat="1" ht="45" x14ac:dyDescent="0.25">
      <c r="A45" s="104" t="s">
        <v>12</v>
      </c>
      <c r="B45" s="11" t="s">
        <v>505</v>
      </c>
      <c r="C45" s="11" t="s">
        <v>570</v>
      </c>
      <c r="D45" s="57" t="s">
        <v>577</v>
      </c>
      <c r="E45" s="242">
        <v>132</v>
      </c>
      <c r="F45" s="72">
        <f t="shared" si="4"/>
        <v>2.5000000000000001E-2</v>
      </c>
      <c r="G45" s="10">
        <v>2015</v>
      </c>
      <c r="H45" s="109"/>
      <c r="I45" s="57" t="s">
        <v>563</v>
      </c>
      <c r="J45" s="107" t="s">
        <v>565</v>
      </c>
    </row>
    <row r="46" spans="1:10" s="108" customFormat="1" ht="45" x14ac:dyDescent="0.25">
      <c r="A46" s="104" t="s">
        <v>12</v>
      </c>
      <c r="B46" s="11" t="s">
        <v>505</v>
      </c>
      <c r="C46" s="11" t="s">
        <v>570</v>
      </c>
      <c r="D46" s="57" t="s">
        <v>578</v>
      </c>
      <c r="E46" s="242">
        <v>150</v>
      </c>
      <c r="F46" s="72">
        <f t="shared" si="4"/>
        <v>2.8409090909090908E-2</v>
      </c>
      <c r="G46" s="10">
        <v>2015</v>
      </c>
      <c r="H46" s="109"/>
      <c r="I46" s="57" t="s">
        <v>563</v>
      </c>
      <c r="J46" s="107" t="s">
        <v>565</v>
      </c>
    </row>
    <row r="47" spans="1:10" s="108" customFormat="1" ht="45" x14ac:dyDescent="0.25">
      <c r="A47" s="104" t="s">
        <v>12</v>
      </c>
      <c r="B47" s="11" t="s">
        <v>505</v>
      </c>
      <c r="C47" s="11" t="s">
        <v>570</v>
      </c>
      <c r="D47" s="57" t="s">
        <v>579</v>
      </c>
      <c r="E47" s="242">
        <v>21</v>
      </c>
      <c r="F47" s="72">
        <f t="shared" si="4"/>
        <v>3.9772727272727269E-3</v>
      </c>
      <c r="G47" s="10">
        <v>2015</v>
      </c>
      <c r="H47" s="109"/>
      <c r="I47" s="57" t="s">
        <v>563</v>
      </c>
      <c r="J47" s="107" t="s">
        <v>565</v>
      </c>
    </row>
    <row r="48" spans="1:10" s="108" customFormat="1" ht="45" x14ac:dyDescent="0.25">
      <c r="A48" s="104" t="s">
        <v>12</v>
      </c>
      <c r="B48" s="11" t="s">
        <v>505</v>
      </c>
      <c r="C48" s="11" t="s">
        <v>570</v>
      </c>
      <c r="D48" s="57" t="s">
        <v>580</v>
      </c>
      <c r="E48" s="242">
        <v>84</v>
      </c>
      <c r="F48" s="72">
        <f t="shared" si="4"/>
        <v>1.5909090909090907E-2</v>
      </c>
      <c r="G48" s="10">
        <v>2015</v>
      </c>
      <c r="H48" s="109"/>
      <c r="I48" s="57" t="s">
        <v>563</v>
      </c>
      <c r="J48" s="107" t="s">
        <v>565</v>
      </c>
    </row>
    <row r="49" spans="1:11" s="108" customFormat="1" ht="45" x14ac:dyDescent="0.25">
      <c r="A49" s="104" t="s">
        <v>12</v>
      </c>
      <c r="B49" s="11" t="s">
        <v>505</v>
      </c>
      <c r="C49" s="11" t="s">
        <v>570</v>
      </c>
      <c r="D49" s="57" t="s">
        <v>581</v>
      </c>
      <c r="E49" s="242">
        <v>147</v>
      </c>
      <c r="F49" s="72">
        <f t="shared" si="4"/>
        <v>2.784090909090909E-2</v>
      </c>
      <c r="G49" s="10">
        <v>2015</v>
      </c>
      <c r="H49" s="109"/>
      <c r="I49" s="57" t="s">
        <v>563</v>
      </c>
      <c r="J49" s="107" t="s">
        <v>565</v>
      </c>
    </row>
    <row r="50" spans="1:11" s="108" customFormat="1" ht="30" x14ac:dyDescent="0.25">
      <c r="A50" s="104" t="s">
        <v>12</v>
      </c>
      <c r="B50" s="11" t="s">
        <v>505</v>
      </c>
      <c r="C50" s="11" t="s">
        <v>582</v>
      </c>
      <c r="D50" s="57" t="s">
        <v>583</v>
      </c>
      <c r="E50" s="242" t="s">
        <v>249</v>
      </c>
      <c r="F50" s="72" t="s">
        <v>249</v>
      </c>
      <c r="G50" s="10" t="s">
        <v>158</v>
      </c>
      <c r="H50" s="109" t="s">
        <v>567</v>
      </c>
      <c r="I50" s="57" t="s">
        <v>584</v>
      </c>
      <c r="J50" s="107" t="s">
        <v>585</v>
      </c>
    </row>
    <row r="51" spans="1:11" s="9" customFormat="1" ht="45" x14ac:dyDescent="0.25">
      <c r="A51" t="s">
        <v>12</v>
      </c>
      <c r="B51" s="29" t="s">
        <v>505</v>
      </c>
      <c r="C51" s="29" t="s">
        <v>503</v>
      </c>
      <c r="D51" s="9" t="s">
        <v>2616</v>
      </c>
      <c r="E51" s="238">
        <v>3259</v>
      </c>
      <c r="F51" s="72">
        <f t="shared" si="4"/>
        <v>0.61723484848484844</v>
      </c>
      <c r="G51" s="74" t="s">
        <v>201</v>
      </c>
      <c r="H51" s="109"/>
      <c r="I51" s="9" t="s">
        <v>200</v>
      </c>
      <c r="J51" s="130" t="s">
        <v>2615</v>
      </c>
    </row>
    <row r="52" spans="1:11" s="9" customFormat="1" ht="30" x14ac:dyDescent="0.25">
      <c r="A52" t="s">
        <v>12</v>
      </c>
      <c r="B52" s="29" t="s">
        <v>505</v>
      </c>
      <c r="C52" s="29" t="s">
        <v>503</v>
      </c>
      <c r="D52" s="9" t="s">
        <v>589</v>
      </c>
      <c r="E52" s="74" t="s">
        <v>249</v>
      </c>
      <c r="F52" s="109" t="s">
        <v>249</v>
      </c>
      <c r="G52" s="74">
        <v>1986</v>
      </c>
      <c r="H52" s="109"/>
      <c r="I52" s="9" t="s">
        <v>290</v>
      </c>
      <c r="J52" s="130" t="s">
        <v>83</v>
      </c>
    </row>
    <row r="53" spans="1:11" s="104" customFormat="1" ht="30" x14ac:dyDescent="0.25">
      <c r="A53" s="104" t="s">
        <v>12</v>
      </c>
      <c r="B53" s="29" t="s">
        <v>505</v>
      </c>
      <c r="C53" s="29" t="s">
        <v>503</v>
      </c>
      <c r="D53" s="107" t="s">
        <v>588</v>
      </c>
      <c r="E53" s="16">
        <v>7175</v>
      </c>
      <c r="F53" s="115">
        <f>E53/5280</f>
        <v>1.3589015151515151</v>
      </c>
      <c r="G53" s="105" t="s">
        <v>158</v>
      </c>
      <c r="H53" s="38" t="s">
        <v>633</v>
      </c>
      <c r="I53" s="106" t="s">
        <v>182</v>
      </c>
      <c r="J53" s="107" t="s">
        <v>186</v>
      </c>
    </row>
    <row r="54" spans="1:11" ht="60" x14ac:dyDescent="0.25">
      <c r="A54" t="s">
        <v>12</v>
      </c>
      <c r="B54" s="29" t="s">
        <v>505</v>
      </c>
      <c r="C54" s="29" t="s">
        <v>503</v>
      </c>
      <c r="D54" s="34" t="s">
        <v>587</v>
      </c>
      <c r="E54" s="16">
        <v>1250</v>
      </c>
      <c r="F54" s="115">
        <f>E54/5280</f>
        <v>0.23674242424242425</v>
      </c>
      <c r="G54" s="2">
        <v>1955</v>
      </c>
      <c r="H54" s="38"/>
      <c r="I54" s="33" t="s">
        <v>197</v>
      </c>
      <c r="J54" s="107" t="s">
        <v>185</v>
      </c>
    </row>
    <row r="55" spans="1:11" s="104" customFormat="1" ht="45" x14ac:dyDescent="0.25">
      <c r="A55" s="104" t="s">
        <v>12</v>
      </c>
      <c r="B55" s="29" t="s">
        <v>505</v>
      </c>
      <c r="C55" s="29" t="s">
        <v>503</v>
      </c>
      <c r="D55" s="107" t="s">
        <v>586</v>
      </c>
      <c r="E55" s="105">
        <v>425</v>
      </c>
      <c r="F55" s="115">
        <f>E55/5280</f>
        <v>8.049242424242424E-2</v>
      </c>
      <c r="G55" s="105" t="s">
        <v>158</v>
      </c>
      <c r="H55" s="38"/>
      <c r="I55" s="106" t="s">
        <v>590</v>
      </c>
      <c r="J55" s="107" t="s">
        <v>591</v>
      </c>
    </row>
    <row r="56" spans="1:11" s="104" customFormat="1" ht="30" x14ac:dyDescent="0.25">
      <c r="A56" s="104" t="s">
        <v>12</v>
      </c>
      <c r="B56" s="29" t="s">
        <v>505</v>
      </c>
      <c r="C56" s="29" t="s">
        <v>503</v>
      </c>
      <c r="D56" s="107" t="s">
        <v>181</v>
      </c>
      <c r="E56" s="16">
        <v>1160</v>
      </c>
      <c r="F56" s="115">
        <f t="shared" ref="F56:F57" si="5">E56/5280</f>
        <v>0.2196969696969697</v>
      </c>
      <c r="G56" s="105"/>
      <c r="H56" s="38"/>
      <c r="I56" s="106" t="s">
        <v>182</v>
      </c>
      <c r="J56" s="107" t="s">
        <v>184</v>
      </c>
    </row>
    <row r="57" spans="1:11" s="104" customFormat="1" ht="30" x14ac:dyDescent="0.25">
      <c r="A57" s="104" t="s">
        <v>12</v>
      </c>
      <c r="B57" s="29" t="s">
        <v>505</v>
      </c>
      <c r="C57" s="29" t="s">
        <v>503</v>
      </c>
      <c r="D57" s="107" t="s">
        <v>180</v>
      </c>
      <c r="E57" s="105">
        <v>370</v>
      </c>
      <c r="F57" s="115">
        <f t="shared" si="5"/>
        <v>7.0075757575757569E-2</v>
      </c>
      <c r="G57" s="105"/>
      <c r="H57" s="38"/>
      <c r="I57" s="106" t="s">
        <v>182</v>
      </c>
      <c r="J57" s="107" t="s">
        <v>183</v>
      </c>
    </row>
    <row r="58" spans="1:11" s="9" customFormat="1" ht="30" x14ac:dyDescent="0.25">
      <c r="A58" t="s">
        <v>12</v>
      </c>
      <c r="B58" s="29" t="s">
        <v>505</v>
      </c>
      <c r="C58" s="29" t="s">
        <v>504</v>
      </c>
      <c r="D58" s="9" t="s">
        <v>88</v>
      </c>
      <c r="E58" s="74" t="s">
        <v>249</v>
      </c>
      <c r="F58" s="109" t="s">
        <v>249</v>
      </c>
      <c r="G58" s="74" t="s">
        <v>75</v>
      </c>
      <c r="H58" s="109"/>
      <c r="I58" s="77" t="s">
        <v>87</v>
      </c>
      <c r="J58" s="130" t="s">
        <v>2617</v>
      </c>
    </row>
    <row r="59" spans="1:11" s="9" customFormat="1" x14ac:dyDescent="0.25">
      <c r="A59" t="s">
        <v>12</v>
      </c>
      <c r="B59" s="29" t="s">
        <v>505</v>
      </c>
      <c r="C59" s="29" t="s">
        <v>504</v>
      </c>
      <c r="D59" s="9" t="s">
        <v>202</v>
      </c>
      <c r="E59" s="74" t="s">
        <v>249</v>
      </c>
      <c r="F59" s="109" t="s">
        <v>249</v>
      </c>
      <c r="G59" s="39"/>
      <c r="H59" s="109"/>
      <c r="I59" s="77" t="s">
        <v>59</v>
      </c>
      <c r="J59" s="130" t="s">
        <v>2618</v>
      </c>
    </row>
    <row r="60" spans="1:11" s="9" customFormat="1" ht="90" x14ac:dyDescent="0.25">
      <c r="A60" t="s">
        <v>12</v>
      </c>
      <c r="B60" s="29" t="s">
        <v>505</v>
      </c>
      <c r="C60" s="29" t="s">
        <v>504</v>
      </c>
      <c r="D60" s="9" t="s">
        <v>592</v>
      </c>
      <c r="E60" s="74" t="s">
        <v>249</v>
      </c>
      <c r="F60" s="109" t="s">
        <v>249</v>
      </c>
      <c r="G60" s="15">
        <v>1994</v>
      </c>
      <c r="H60" s="109" t="s">
        <v>593</v>
      </c>
      <c r="I60" s="77" t="s">
        <v>594</v>
      </c>
      <c r="J60" s="130" t="s">
        <v>595</v>
      </c>
    </row>
    <row r="61" spans="1:11" s="9" customFormat="1" ht="90" x14ac:dyDescent="0.25">
      <c r="A61" t="s">
        <v>12</v>
      </c>
      <c r="B61" s="29" t="s">
        <v>505</v>
      </c>
      <c r="C61" s="29" t="s">
        <v>504</v>
      </c>
      <c r="D61" s="9" t="s">
        <v>596</v>
      </c>
      <c r="E61" s="74" t="s">
        <v>249</v>
      </c>
      <c r="F61" s="109" t="s">
        <v>249</v>
      </c>
      <c r="G61" s="74">
        <v>1995</v>
      </c>
      <c r="H61" s="109" t="s">
        <v>597</v>
      </c>
      <c r="I61" s="77" t="s">
        <v>594</v>
      </c>
      <c r="J61" s="130" t="s">
        <v>598</v>
      </c>
    </row>
    <row r="62" spans="1:11" ht="75" x14ac:dyDescent="0.25">
      <c r="A62" t="s">
        <v>12</v>
      </c>
      <c r="B62" s="29" t="s">
        <v>505</v>
      </c>
      <c r="C62" s="29" t="s">
        <v>504</v>
      </c>
      <c r="D62" s="77" t="s">
        <v>599</v>
      </c>
      <c r="E62" s="2" t="s">
        <v>249</v>
      </c>
      <c r="F62" s="105" t="s">
        <v>249</v>
      </c>
      <c r="G62" s="38" t="s">
        <v>257</v>
      </c>
      <c r="I62" s="33" t="s">
        <v>253</v>
      </c>
      <c r="J62" s="127" t="s">
        <v>258</v>
      </c>
      <c r="K62" t="s">
        <v>254</v>
      </c>
    </row>
    <row r="63" spans="1:11" s="9" customFormat="1" ht="30" x14ac:dyDescent="0.25">
      <c r="A63" t="s">
        <v>12</v>
      </c>
      <c r="B63" s="29" t="s">
        <v>505</v>
      </c>
      <c r="C63" s="29" t="s">
        <v>504</v>
      </c>
      <c r="D63" s="9" t="s">
        <v>600</v>
      </c>
      <c r="E63" s="74">
        <v>441</v>
      </c>
      <c r="F63" s="115">
        <f>E63/5280</f>
        <v>8.3522727272727276E-2</v>
      </c>
      <c r="G63" s="74">
        <v>1988</v>
      </c>
      <c r="H63" s="109" t="s">
        <v>58</v>
      </c>
      <c r="I63" s="77" t="s">
        <v>59</v>
      </c>
      <c r="J63" s="130" t="s">
        <v>2619</v>
      </c>
    </row>
    <row r="64" spans="1:11" ht="75" x14ac:dyDescent="0.25">
      <c r="A64" t="s">
        <v>12</v>
      </c>
      <c r="B64" s="29" t="s">
        <v>505</v>
      </c>
      <c r="C64" s="29" t="s">
        <v>504</v>
      </c>
      <c r="D64" s="77" t="s">
        <v>601</v>
      </c>
      <c r="E64" s="2" t="s">
        <v>249</v>
      </c>
      <c r="F64" s="105" t="s">
        <v>249</v>
      </c>
      <c r="G64" s="38" t="s">
        <v>255</v>
      </c>
      <c r="I64" s="33" t="s">
        <v>253</v>
      </c>
      <c r="J64" s="127" t="s">
        <v>2621</v>
      </c>
      <c r="K64" s="104" t="s">
        <v>254</v>
      </c>
    </row>
    <row r="65" spans="1:11" s="9" customFormat="1" ht="75" x14ac:dyDescent="0.25">
      <c r="A65" t="s">
        <v>12</v>
      </c>
      <c r="B65" s="29" t="s">
        <v>505</v>
      </c>
      <c r="C65" s="29" t="s">
        <v>504</v>
      </c>
      <c r="D65" s="77" t="s">
        <v>602</v>
      </c>
      <c r="E65" s="74" t="s">
        <v>249</v>
      </c>
      <c r="F65" s="109" t="s">
        <v>249</v>
      </c>
      <c r="G65" s="109" t="s">
        <v>256</v>
      </c>
      <c r="H65" s="109"/>
      <c r="I65" s="9" t="s">
        <v>253</v>
      </c>
      <c r="J65" s="127" t="s">
        <v>2620</v>
      </c>
      <c r="K65" s="104" t="s">
        <v>254</v>
      </c>
    </row>
    <row r="66" spans="1:11" s="9" customFormat="1" ht="45" x14ac:dyDescent="0.25">
      <c r="A66" t="s">
        <v>12</v>
      </c>
      <c r="B66" s="29" t="s">
        <v>505</v>
      </c>
      <c r="C66" s="29" t="s">
        <v>504</v>
      </c>
      <c r="D66" s="9" t="s">
        <v>603</v>
      </c>
      <c r="E66" s="74" t="s">
        <v>249</v>
      </c>
      <c r="F66" s="109" t="s">
        <v>249</v>
      </c>
      <c r="G66" s="109" t="s">
        <v>256</v>
      </c>
      <c r="H66" s="109" t="s">
        <v>535</v>
      </c>
      <c r="I66" s="77" t="s">
        <v>679</v>
      </c>
      <c r="J66" s="107" t="s">
        <v>672</v>
      </c>
    </row>
    <row r="67" spans="1:11" s="9" customFormat="1" ht="45" x14ac:dyDescent="0.25">
      <c r="A67" t="s">
        <v>12</v>
      </c>
      <c r="B67" s="29" t="s">
        <v>505</v>
      </c>
      <c r="C67" s="29" t="s">
        <v>504</v>
      </c>
      <c r="D67" s="9" t="s">
        <v>604</v>
      </c>
      <c r="E67" s="74" t="s">
        <v>249</v>
      </c>
      <c r="F67" s="109" t="s">
        <v>249</v>
      </c>
      <c r="G67" s="74" t="s">
        <v>256</v>
      </c>
      <c r="H67" s="109" t="s">
        <v>678</v>
      </c>
      <c r="I67" s="77" t="s">
        <v>679</v>
      </c>
      <c r="J67" s="107" t="s">
        <v>672</v>
      </c>
    </row>
    <row r="68" spans="1:11" ht="45" x14ac:dyDescent="0.25">
      <c r="A68" t="s">
        <v>12</v>
      </c>
      <c r="B68" s="29" t="s">
        <v>505</v>
      </c>
      <c r="C68" s="29" t="s">
        <v>504</v>
      </c>
      <c r="D68" s="9" t="s">
        <v>605</v>
      </c>
      <c r="E68" s="2" t="s">
        <v>249</v>
      </c>
      <c r="F68" s="105" t="s">
        <v>249</v>
      </c>
      <c r="G68" s="2" t="s">
        <v>75</v>
      </c>
      <c r="H68" s="105" t="s">
        <v>676</v>
      </c>
      <c r="I68" s="114" t="s">
        <v>677</v>
      </c>
      <c r="J68" s="107" t="s">
        <v>673</v>
      </c>
    </row>
    <row r="69" spans="1:11" s="104" customFormat="1" ht="45" x14ac:dyDescent="0.25">
      <c r="A69" s="104" t="s">
        <v>12</v>
      </c>
      <c r="B69" s="29" t="s">
        <v>505</v>
      </c>
      <c r="C69" s="29" t="s">
        <v>502</v>
      </c>
      <c r="D69" s="57" t="s">
        <v>671</v>
      </c>
      <c r="E69" s="242" t="s">
        <v>249</v>
      </c>
      <c r="F69" s="16" t="s">
        <v>249</v>
      </c>
      <c r="G69" s="105" t="s">
        <v>158</v>
      </c>
      <c r="H69" s="10">
        <v>2015</v>
      </c>
      <c r="I69" s="57" t="s">
        <v>674</v>
      </c>
      <c r="J69" s="107" t="s">
        <v>675</v>
      </c>
    </row>
    <row r="70" spans="1:11" s="104" customFormat="1" ht="45" x14ac:dyDescent="0.25">
      <c r="A70" s="104" t="s">
        <v>12</v>
      </c>
      <c r="B70" s="29" t="s">
        <v>505</v>
      </c>
      <c r="C70" s="52" t="s">
        <v>670</v>
      </c>
      <c r="D70" s="108" t="s">
        <v>668</v>
      </c>
      <c r="E70" s="105" t="s">
        <v>249</v>
      </c>
      <c r="F70" s="105" t="s">
        <v>249</v>
      </c>
      <c r="G70" s="105" t="s">
        <v>158</v>
      </c>
      <c r="H70" s="105" t="s">
        <v>545</v>
      </c>
      <c r="I70" s="114" t="s">
        <v>662</v>
      </c>
      <c r="J70" s="107" t="s">
        <v>669</v>
      </c>
    </row>
    <row r="71" spans="1:11" s="104" customFormat="1" ht="45" x14ac:dyDescent="0.25">
      <c r="A71" s="104" t="s">
        <v>12</v>
      </c>
      <c r="B71" s="29" t="s">
        <v>505</v>
      </c>
      <c r="C71" s="29" t="s">
        <v>665</v>
      </c>
      <c r="D71" s="108" t="s">
        <v>666</v>
      </c>
      <c r="E71" s="105" t="s">
        <v>249</v>
      </c>
      <c r="F71" s="105" t="s">
        <v>249</v>
      </c>
      <c r="G71" s="105" t="s">
        <v>158</v>
      </c>
      <c r="H71" s="105" t="s">
        <v>545</v>
      </c>
      <c r="I71" s="114" t="s">
        <v>662</v>
      </c>
      <c r="J71" s="107" t="s">
        <v>667</v>
      </c>
    </row>
    <row r="72" spans="1:11" ht="105" x14ac:dyDescent="0.25">
      <c r="A72" t="s">
        <v>12</v>
      </c>
      <c r="B72" s="29" t="s">
        <v>505</v>
      </c>
      <c r="C72" s="29" t="s">
        <v>505</v>
      </c>
      <c r="D72" s="34" t="s">
        <v>203</v>
      </c>
      <c r="E72" s="2" t="s">
        <v>249</v>
      </c>
      <c r="F72" s="105" t="s">
        <v>249</v>
      </c>
      <c r="G72" s="2">
        <v>1971</v>
      </c>
      <c r="H72" s="38">
        <v>2002</v>
      </c>
      <c r="I72" s="33" t="s">
        <v>13</v>
      </c>
      <c r="J72" s="107" t="s">
        <v>17</v>
      </c>
      <c r="K72" s="112" t="s">
        <v>205</v>
      </c>
    </row>
    <row r="73" spans="1:11" ht="45" x14ac:dyDescent="0.25">
      <c r="A73" t="s">
        <v>12</v>
      </c>
      <c r="B73" s="29" t="s">
        <v>505</v>
      </c>
      <c r="C73" s="29" t="s">
        <v>505</v>
      </c>
      <c r="D73" s="34" t="s">
        <v>527</v>
      </c>
      <c r="E73" s="2" t="s">
        <v>249</v>
      </c>
      <c r="F73" s="105" t="s">
        <v>249</v>
      </c>
      <c r="I73" s="33" t="s">
        <v>13</v>
      </c>
      <c r="J73" s="112" t="s">
        <v>204</v>
      </c>
    </row>
    <row r="74" spans="1:11" ht="75" x14ac:dyDescent="0.25">
      <c r="A74" t="s">
        <v>12</v>
      </c>
      <c r="B74" s="29" t="s">
        <v>505</v>
      </c>
      <c r="C74" s="29" t="s">
        <v>505</v>
      </c>
      <c r="D74" s="34" t="s">
        <v>606</v>
      </c>
      <c r="E74" s="2" t="s">
        <v>249</v>
      </c>
      <c r="F74" s="105" t="s">
        <v>249</v>
      </c>
      <c r="G74" s="2">
        <v>1971</v>
      </c>
      <c r="H74" s="38">
        <v>2014</v>
      </c>
      <c r="I74" s="33" t="s">
        <v>607</v>
      </c>
      <c r="J74" s="122" t="s">
        <v>608</v>
      </c>
    </row>
    <row r="75" spans="1:11" ht="135" x14ac:dyDescent="0.25">
      <c r="A75" t="s">
        <v>12</v>
      </c>
      <c r="B75" s="29" t="s">
        <v>505</v>
      </c>
      <c r="C75" s="29" t="s">
        <v>505</v>
      </c>
      <c r="D75" s="34" t="s">
        <v>611</v>
      </c>
      <c r="E75" s="16">
        <v>2400</v>
      </c>
      <c r="F75" s="72">
        <f>E75/5280</f>
        <v>0.45454545454545453</v>
      </c>
      <c r="G75" s="2">
        <v>1953</v>
      </c>
      <c r="H75" s="38" t="s">
        <v>47</v>
      </c>
      <c r="I75" s="33" t="s">
        <v>609</v>
      </c>
      <c r="J75" s="107" t="s">
        <v>610</v>
      </c>
    </row>
    <row r="76" spans="1:11" ht="60" x14ac:dyDescent="0.25">
      <c r="A76" t="s">
        <v>12</v>
      </c>
      <c r="B76" s="29" t="s">
        <v>505</v>
      </c>
      <c r="C76" s="29" t="s">
        <v>505</v>
      </c>
      <c r="D76" s="34" t="s">
        <v>612</v>
      </c>
      <c r="E76" s="2" t="s">
        <v>249</v>
      </c>
      <c r="F76" s="105" t="s">
        <v>249</v>
      </c>
      <c r="G76" s="2" t="s">
        <v>15</v>
      </c>
      <c r="H76" s="38" t="s">
        <v>664</v>
      </c>
      <c r="I76" s="33" t="s">
        <v>16</v>
      </c>
      <c r="J76" s="107" t="s">
        <v>14</v>
      </c>
    </row>
    <row r="77" spans="1:11" s="104" customFormat="1" ht="90" x14ac:dyDescent="0.25">
      <c r="A77" s="104" t="s">
        <v>12</v>
      </c>
      <c r="B77" s="29" t="s">
        <v>505</v>
      </c>
      <c r="C77" s="29" t="s">
        <v>506</v>
      </c>
      <c r="D77" s="107" t="s">
        <v>613</v>
      </c>
      <c r="E77" s="16">
        <v>4600</v>
      </c>
      <c r="F77" s="115">
        <f>E77/5280</f>
        <v>0.87121212121212122</v>
      </c>
      <c r="G77" s="105" t="s">
        <v>158</v>
      </c>
      <c r="H77" s="38" t="s">
        <v>567</v>
      </c>
      <c r="I77" s="106" t="s">
        <v>615</v>
      </c>
      <c r="J77" s="107" t="s">
        <v>614</v>
      </c>
    </row>
    <row r="78" spans="1:11" s="236" customFormat="1" ht="30" x14ac:dyDescent="0.25">
      <c r="A78" s="236" t="s">
        <v>12</v>
      </c>
      <c r="B78" s="137" t="s">
        <v>505</v>
      </c>
      <c r="C78" s="137" t="s">
        <v>506</v>
      </c>
      <c r="D78" s="236" t="s">
        <v>2622</v>
      </c>
      <c r="E78" s="235" t="s">
        <v>249</v>
      </c>
      <c r="F78" s="235" t="s">
        <v>249</v>
      </c>
      <c r="G78" s="235" t="s">
        <v>154</v>
      </c>
      <c r="H78" s="235"/>
      <c r="I78" s="237" t="s">
        <v>159</v>
      </c>
      <c r="J78" s="237" t="s">
        <v>206</v>
      </c>
    </row>
    <row r="79" spans="1:11" s="9" customFormat="1" ht="60" x14ac:dyDescent="0.25">
      <c r="A79" s="9" t="s">
        <v>12</v>
      </c>
      <c r="B79" s="29" t="s">
        <v>505</v>
      </c>
      <c r="C79" s="29" t="s">
        <v>506</v>
      </c>
      <c r="D79" s="9" t="s">
        <v>616</v>
      </c>
      <c r="E79" s="15">
        <v>930</v>
      </c>
      <c r="F79" s="115">
        <f>E79/5280</f>
        <v>0.17613636363636365</v>
      </c>
      <c r="G79" s="15" t="s">
        <v>158</v>
      </c>
      <c r="H79" s="15">
        <v>2011</v>
      </c>
      <c r="I79" s="9" t="s">
        <v>683</v>
      </c>
      <c r="J79" s="130" t="s">
        <v>682</v>
      </c>
    </row>
    <row r="80" spans="1:11" ht="60" x14ac:dyDescent="0.25">
      <c r="A80" t="s">
        <v>12</v>
      </c>
      <c r="B80" s="29" t="s">
        <v>505</v>
      </c>
      <c r="C80" s="29" t="s">
        <v>507</v>
      </c>
      <c r="D80" s="34" t="s">
        <v>18</v>
      </c>
      <c r="E80" s="2" t="s">
        <v>249</v>
      </c>
      <c r="F80" s="105" t="s">
        <v>249</v>
      </c>
      <c r="G80" s="2" t="s">
        <v>158</v>
      </c>
      <c r="H80" s="105" t="s">
        <v>207</v>
      </c>
      <c r="I80" s="33" t="s">
        <v>19</v>
      </c>
      <c r="J80" s="112" t="s">
        <v>210</v>
      </c>
    </row>
    <row r="81" spans="1:11" s="104" customFormat="1" ht="45" x14ac:dyDescent="0.25">
      <c r="A81" s="104" t="s">
        <v>12</v>
      </c>
      <c r="B81" s="11" t="s">
        <v>505</v>
      </c>
      <c r="C81" s="11" t="s">
        <v>507</v>
      </c>
      <c r="D81" s="57" t="s">
        <v>661</v>
      </c>
      <c r="E81" s="242" t="s">
        <v>249</v>
      </c>
      <c r="F81" s="16" t="s">
        <v>249</v>
      </c>
      <c r="G81" s="105" t="s">
        <v>158</v>
      </c>
      <c r="H81" s="105" t="s">
        <v>545</v>
      </c>
      <c r="I81" s="106" t="s">
        <v>662</v>
      </c>
      <c r="J81" s="57" t="s">
        <v>663</v>
      </c>
    </row>
    <row r="82" spans="1:11" ht="45" x14ac:dyDescent="0.25">
      <c r="A82" t="s">
        <v>12</v>
      </c>
      <c r="B82" s="29" t="s">
        <v>505</v>
      </c>
      <c r="C82" s="29" t="s">
        <v>507</v>
      </c>
      <c r="D82" s="34" t="s">
        <v>618</v>
      </c>
      <c r="E82" s="2">
        <v>540</v>
      </c>
      <c r="F82" s="115">
        <f t="shared" ref="F82:F83" si="6">E82/5280</f>
        <v>0.10227272727272728</v>
      </c>
      <c r="G82" s="2" t="s">
        <v>158</v>
      </c>
      <c r="H82" s="105" t="s">
        <v>207</v>
      </c>
      <c r="I82" s="33" t="s">
        <v>617</v>
      </c>
      <c r="J82" s="112" t="s">
        <v>208</v>
      </c>
    </row>
    <row r="83" spans="1:11" ht="30" x14ac:dyDescent="0.25">
      <c r="A83" t="s">
        <v>12</v>
      </c>
      <c r="B83" s="29" t="s">
        <v>505</v>
      </c>
      <c r="C83" s="29" t="s">
        <v>507</v>
      </c>
      <c r="D83" s="34" t="s">
        <v>619</v>
      </c>
      <c r="E83" s="2">
        <v>525</v>
      </c>
      <c r="F83" s="115">
        <f t="shared" si="6"/>
        <v>9.9431818181818177E-2</v>
      </c>
      <c r="G83" s="2" t="s">
        <v>158</v>
      </c>
      <c r="I83" s="33" t="s">
        <v>68</v>
      </c>
      <c r="J83" s="112" t="s">
        <v>209</v>
      </c>
    </row>
    <row r="84" spans="1:11" ht="45" x14ac:dyDescent="0.25">
      <c r="A84" t="s">
        <v>12</v>
      </c>
      <c r="B84" s="29" t="s">
        <v>505</v>
      </c>
      <c r="C84" s="29" t="s">
        <v>507</v>
      </c>
      <c r="D84" s="34" t="s">
        <v>622</v>
      </c>
      <c r="E84" s="2" t="s">
        <v>249</v>
      </c>
      <c r="F84" s="105" t="s">
        <v>249</v>
      </c>
      <c r="G84" s="2" t="s">
        <v>158</v>
      </c>
      <c r="H84" s="105" t="s">
        <v>207</v>
      </c>
      <c r="I84" s="33" t="s">
        <v>620</v>
      </c>
      <c r="J84" s="112" t="s">
        <v>20</v>
      </c>
    </row>
    <row r="85" spans="1:11" ht="30" x14ac:dyDescent="0.25">
      <c r="A85" t="s">
        <v>12</v>
      </c>
      <c r="B85" s="29" t="s">
        <v>505</v>
      </c>
      <c r="C85" s="29" t="s">
        <v>507</v>
      </c>
      <c r="D85" s="34" t="s">
        <v>621</v>
      </c>
      <c r="E85" s="2" t="s">
        <v>249</v>
      </c>
      <c r="F85" s="105" t="s">
        <v>249</v>
      </c>
      <c r="H85" s="39"/>
      <c r="I85" s="33" t="s">
        <v>53</v>
      </c>
      <c r="J85" s="112" t="s">
        <v>52</v>
      </c>
    </row>
    <row r="86" spans="1:11" ht="30" x14ac:dyDescent="0.25">
      <c r="A86" t="s">
        <v>12</v>
      </c>
      <c r="B86" s="29" t="s">
        <v>505</v>
      </c>
      <c r="C86" s="29" t="s">
        <v>507</v>
      </c>
      <c r="D86" s="34" t="s">
        <v>623</v>
      </c>
      <c r="E86" s="2" t="s">
        <v>249</v>
      </c>
      <c r="F86" s="105" t="s">
        <v>249</v>
      </c>
      <c r="G86" s="2">
        <v>1957</v>
      </c>
      <c r="H86" s="39"/>
      <c r="I86" s="33" t="s">
        <v>92</v>
      </c>
      <c r="J86" s="112" t="s">
        <v>21</v>
      </c>
      <c r="K86" s="112"/>
    </row>
    <row r="87" spans="1:11" ht="30" x14ac:dyDescent="0.25">
      <c r="A87" t="s">
        <v>12</v>
      </c>
      <c r="B87" s="29" t="s">
        <v>500</v>
      </c>
      <c r="C87" s="29" t="s">
        <v>508</v>
      </c>
      <c r="D87" s="34" t="s">
        <v>624</v>
      </c>
      <c r="E87" s="2">
        <v>1195</v>
      </c>
      <c r="F87" s="115">
        <f t="shared" ref="F87:F89" si="7">E87/5280</f>
        <v>0.22632575757575757</v>
      </c>
      <c r="I87" s="33" t="s">
        <v>196</v>
      </c>
      <c r="J87" s="112"/>
    </row>
    <row r="88" spans="1:11" ht="45" x14ac:dyDescent="0.25">
      <c r="A88" t="s">
        <v>12</v>
      </c>
      <c r="B88" s="29" t="s">
        <v>500</v>
      </c>
      <c r="C88" s="29" t="s">
        <v>508</v>
      </c>
      <c r="D88" s="34" t="s">
        <v>625</v>
      </c>
      <c r="E88" s="2">
        <v>1100</v>
      </c>
      <c r="F88" s="115">
        <f t="shared" si="7"/>
        <v>0.20833333333333334</v>
      </c>
      <c r="G88" s="2" t="s">
        <v>75</v>
      </c>
      <c r="I88" s="33" t="s">
        <v>198</v>
      </c>
      <c r="J88" s="112"/>
    </row>
    <row r="89" spans="1:11" ht="30" x14ac:dyDescent="0.25">
      <c r="A89" t="s">
        <v>12</v>
      </c>
      <c r="B89" s="29" t="s">
        <v>500</v>
      </c>
      <c r="C89" s="29" t="s">
        <v>508</v>
      </c>
      <c r="D89" s="34" t="s">
        <v>626</v>
      </c>
      <c r="E89" s="2">
        <v>2000</v>
      </c>
      <c r="F89" s="115">
        <f t="shared" si="7"/>
        <v>0.37878787878787878</v>
      </c>
      <c r="I89" s="33" t="s">
        <v>196</v>
      </c>
      <c r="J89" s="112"/>
    </row>
    <row r="90" spans="1:11" ht="30" x14ac:dyDescent="0.25">
      <c r="A90" t="s">
        <v>12</v>
      </c>
      <c r="B90" s="29" t="s">
        <v>519</v>
      </c>
      <c r="C90" s="29" t="s">
        <v>509</v>
      </c>
      <c r="D90" s="34" t="s">
        <v>627</v>
      </c>
      <c r="E90" s="2" t="s">
        <v>249</v>
      </c>
      <c r="F90" s="105" t="s">
        <v>249</v>
      </c>
      <c r="G90" s="67">
        <v>1956</v>
      </c>
      <c r="H90" s="105" t="s">
        <v>107</v>
      </c>
      <c r="I90" s="33" t="s">
        <v>290</v>
      </c>
      <c r="J90" s="112" t="s">
        <v>106</v>
      </c>
    </row>
    <row r="91" spans="1:11" ht="45" x14ac:dyDescent="0.25">
      <c r="A91" t="s">
        <v>12</v>
      </c>
      <c r="B91" s="29" t="s">
        <v>519</v>
      </c>
      <c r="C91" s="29" t="s">
        <v>509</v>
      </c>
      <c r="D91" s="34" t="s">
        <v>628</v>
      </c>
      <c r="E91" s="67">
        <v>1600</v>
      </c>
      <c r="F91" s="115">
        <f>E91/5280</f>
        <v>0.30303030303030304</v>
      </c>
      <c r="G91" s="67">
        <v>1958</v>
      </c>
      <c r="H91" s="105" t="s">
        <v>108</v>
      </c>
      <c r="I91" s="33" t="s">
        <v>288</v>
      </c>
      <c r="J91" s="112" t="s">
        <v>151</v>
      </c>
    </row>
    <row r="92" spans="1:11" ht="45" x14ac:dyDescent="0.25">
      <c r="A92" t="s">
        <v>12</v>
      </c>
      <c r="B92" s="29" t="s">
        <v>519</v>
      </c>
      <c r="C92" s="29" t="s">
        <v>510</v>
      </c>
      <c r="D92" s="34" t="s">
        <v>629</v>
      </c>
      <c r="E92" s="2" t="s">
        <v>249</v>
      </c>
      <c r="F92" s="105" t="s">
        <v>249</v>
      </c>
      <c r="G92" s="67" t="s">
        <v>75</v>
      </c>
      <c r="I92" s="33" t="s">
        <v>198</v>
      </c>
      <c r="J92" s="112" t="s">
        <v>211</v>
      </c>
    </row>
    <row r="93" spans="1:11" s="104" customFormat="1" ht="45" x14ac:dyDescent="0.25">
      <c r="A93" s="104" t="s">
        <v>12</v>
      </c>
      <c r="B93" s="29" t="s">
        <v>520</v>
      </c>
      <c r="C93" s="29" t="s">
        <v>511</v>
      </c>
      <c r="D93" s="107" t="s">
        <v>187</v>
      </c>
      <c r="E93" s="105" t="s">
        <v>249</v>
      </c>
      <c r="F93" s="105" t="s">
        <v>249</v>
      </c>
      <c r="G93" s="67">
        <v>1949</v>
      </c>
      <c r="H93" s="105"/>
      <c r="I93" s="106" t="s">
        <v>189</v>
      </c>
      <c r="J93" s="112" t="s">
        <v>188</v>
      </c>
    </row>
    <row r="94" spans="1:11" ht="45" x14ac:dyDescent="0.25">
      <c r="A94" t="s">
        <v>12</v>
      </c>
      <c r="B94" s="29" t="s">
        <v>520</v>
      </c>
      <c r="C94" s="29" t="s">
        <v>511</v>
      </c>
      <c r="D94" s="34" t="s">
        <v>48</v>
      </c>
      <c r="E94" s="2" t="s">
        <v>249</v>
      </c>
      <c r="F94" s="105" t="s">
        <v>249</v>
      </c>
      <c r="G94" s="67">
        <v>1987</v>
      </c>
      <c r="I94" s="33" t="s">
        <v>291</v>
      </c>
      <c r="J94" s="112" t="s">
        <v>190</v>
      </c>
    </row>
    <row r="95" spans="1:11" ht="60" x14ac:dyDescent="0.25">
      <c r="A95" t="s">
        <v>12</v>
      </c>
      <c r="B95" s="29" t="s">
        <v>520</v>
      </c>
      <c r="C95" s="29" t="s">
        <v>512</v>
      </c>
      <c r="D95" s="34" t="s">
        <v>2624</v>
      </c>
      <c r="E95" s="2">
        <v>1200</v>
      </c>
      <c r="F95" s="115" t="s">
        <v>853</v>
      </c>
      <c r="G95" s="67">
        <v>1973</v>
      </c>
      <c r="H95" s="105">
        <v>2011</v>
      </c>
      <c r="I95" s="33" t="s">
        <v>292</v>
      </c>
      <c r="J95" s="112" t="s">
        <v>260</v>
      </c>
    </row>
    <row r="96" spans="1:11" ht="75" x14ac:dyDescent="0.25">
      <c r="A96" t="s">
        <v>12</v>
      </c>
      <c r="B96" s="29" t="s">
        <v>520</v>
      </c>
      <c r="C96" s="29" t="s">
        <v>512</v>
      </c>
      <c r="D96" s="34" t="s">
        <v>2623</v>
      </c>
      <c r="E96" s="16">
        <v>1840</v>
      </c>
      <c r="F96" s="115">
        <f>E96/5280</f>
        <v>0.34848484848484851</v>
      </c>
      <c r="G96" s="2" t="s">
        <v>158</v>
      </c>
      <c r="H96" s="105">
        <v>2015</v>
      </c>
      <c r="I96" s="107" t="s">
        <v>631</v>
      </c>
      <c r="J96" s="112" t="s">
        <v>630</v>
      </c>
    </row>
    <row r="97" spans="1:10" ht="60" x14ac:dyDescent="0.25">
      <c r="A97" t="s">
        <v>12</v>
      </c>
      <c r="B97" s="29" t="s">
        <v>520</v>
      </c>
      <c r="C97" s="29" t="s">
        <v>512</v>
      </c>
      <c r="D97" s="34" t="s">
        <v>55</v>
      </c>
      <c r="E97" s="2">
        <v>458</v>
      </c>
      <c r="F97" s="115">
        <f>E97/5280</f>
        <v>8.6742424242424246E-2</v>
      </c>
      <c r="G97" s="2" t="s">
        <v>158</v>
      </c>
      <c r="H97" s="105" t="s">
        <v>633</v>
      </c>
      <c r="I97" s="107" t="s">
        <v>631</v>
      </c>
      <c r="J97" s="112" t="s">
        <v>632</v>
      </c>
    </row>
    <row r="98" spans="1:10" ht="45" x14ac:dyDescent="0.25">
      <c r="A98" t="s">
        <v>12</v>
      </c>
      <c r="B98" s="29" t="s">
        <v>520</v>
      </c>
      <c r="C98" s="29" t="s">
        <v>512</v>
      </c>
      <c r="D98" s="57" t="s">
        <v>49</v>
      </c>
      <c r="E98" s="2" t="s">
        <v>249</v>
      </c>
      <c r="F98" s="105" t="s">
        <v>249</v>
      </c>
      <c r="G98" s="67">
        <v>1985</v>
      </c>
      <c r="I98" s="33" t="s">
        <v>56</v>
      </c>
      <c r="J98" s="112" t="s">
        <v>57</v>
      </c>
    </row>
    <row r="99" spans="1:10" ht="30" x14ac:dyDescent="0.25">
      <c r="A99" t="s">
        <v>12</v>
      </c>
      <c r="B99" s="29" t="s">
        <v>520</v>
      </c>
      <c r="C99" s="52" t="s">
        <v>512</v>
      </c>
      <c r="D99" s="34" t="s">
        <v>142</v>
      </c>
      <c r="E99" s="16">
        <v>2787</v>
      </c>
      <c r="F99" s="115">
        <f t="shared" ref="F99:F107" si="8">E99/5280</f>
        <v>0.52784090909090908</v>
      </c>
      <c r="G99" s="2">
        <v>1997</v>
      </c>
      <c r="H99" s="38" t="s">
        <v>140</v>
      </c>
      <c r="I99" s="33" t="s">
        <v>141</v>
      </c>
      <c r="J99" s="112" t="s">
        <v>143</v>
      </c>
    </row>
    <row r="100" spans="1:10" ht="45" x14ac:dyDescent="0.25">
      <c r="A100" t="s">
        <v>12</v>
      </c>
      <c r="B100" s="29" t="s">
        <v>520</v>
      </c>
      <c r="C100" s="29" t="s">
        <v>513</v>
      </c>
      <c r="D100" s="34" t="s">
        <v>60</v>
      </c>
      <c r="E100" s="2">
        <v>350</v>
      </c>
      <c r="F100" s="115">
        <f t="shared" si="8"/>
        <v>6.6287878787878785E-2</v>
      </c>
      <c r="G100" s="2" t="s">
        <v>158</v>
      </c>
      <c r="H100" s="105" t="s">
        <v>633</v>
      </c>
      <c r="I100" s="33" t="s">
        <v>634</v>
      </c>
      <c r="J100" s="112" t="s">
        <v>635</v>
      </c>
    </row>
    <row r="101" spans="1:10" ht="45" x14ac:dyDescent="0.25">
      <c r="A101" t="s">
        <v>12</v>
      </c>
      <c r="B101" s="29" t="s">
        <v>520</v>
      </c>
      <c r="C101" s="29" t="s">
        <v>513</v>
      </c>
      <c r="D101" s="34" t="s">
        <v>61</v>
      </c>
      <c r="E101" s="16">
        <v>3390</v>
      </c>
      <c r="F101" s="115">
        <f t="shared" si="8"/>
        <v>0.64204545454545459</v>
      </c>
      <c r="G101" s="105" t="s">
        <v>158</v>
      </c>
      <c r="H101" s="105" t="s">
        <v>633</v>
      </c>
      <c r="I101" s="106" t="s">
        <v>634</v>
      </c>
      <c r="J101" s="107" t="s">
        <v>636</v>
      </c>
    </row>
    <row r="102" spans="1:10" ht="30" x14ac:dyDescent="0.25">
      <c r="A102" t="s">
        <v>12</v>
      </c>
      <c r="B102" s="29" t="s">
        <v>520</v>
      </c>
      <c r="C102" s="29" t="s">
        <v>513</v>
      </c>
      <c r="D102" s="34" t="s">
        <v>62</v>
      </c>
      <c r="E102" s="2">
        <v>300</v>
      </c>
      <c r="F102" s="115">
        <f t="shared" si="8"/>
        <v>5.6818181818181816E-2</v>
      </c>
      <c r="G102" s="105" t="s">
        <v>158</v>
      </c>
      <c r="H102" s="105" t="s">
        <v>633</v>
      </c>
      <c r="I102" s="106" t="s">
        <v>634</v>
      </c>
      <c r="J102" s="112" t="s">
        <v>637</v>
      </c>
    </row>
    <row r="103" spans="1:10" ht="30" x14ac:dyDescent="0.25">
      <c r="A103" t="s">
        <v>12</v>
      </c>
      <c r="B103" s="29" t="s">
        <v>520</v>
      </c>
      <c r="C103" s="29" t="s">
        <v>513</v>
      </c>
      <c r="D103" s="34" t="s">
        <v>63</v>
      </c>
      <c r="E103" s="16">
        <v>2500</v>
      </c>
      <c r="F103" s="115">
        <f t="shared" si="8"/>
        <v>0.47348484848484851</v>
      </c>
      <c r="G103" s="105" t="s">
        <v>158</v>
      </c>
      <c r="H103" s="105" t="s">
        <v>633</v>
      </c>
      <c r="I103" s="106" t="s">
        <v>634</v>
      </c>
      <c r="J103" s="112" t="s">
        <v>638</v>
      </c>
    </row>
    <row r="104" spans="1:10" ht="30" x14ac:dyDescent="0.25">
      <c r="A104" t="s">
        <v>12</v>
      </c>
      <c r="B104" s="29" t="s">
        <v>520</v>
      </c>
      <c r="C104" s="42" t="s">
        <v>513</v>
      </c>
      <c r="D104" s="34" t="s">
        <v>64</v>
      </c>
      <c r="E104" s="16">
        <v>1600</v>
      </c>
      <c r="F104" s="115">
        <f t="shared" si="8"/>
        <v>0.30303030303030304</v>
      </c>
      <c r="G104" s="105" t="s">
        <v>158</v>
      </c>
      <c r="H104" s="105" t="s">
        <v>633</v>
      </c>
      <c r="I104" s="106" t="s">
        <v>634</v>
      </c>
      <c r="J104" s="112" t="s">
        <v>639</v>
      </c>
    </row>
    <row r="105" spans="1:10" ht="30" x14ac:dyDescent="0.25">
      <c r="A105" t="s">
        <v>12</v>
      </c>
      <c r="B105" s="29" t="s">
        <v>520</v>
      </c>
      <c r="C105" s="29" t="s">
        <v>513</v>
      </c>
      <c r="D105" s="34" t="s">
        <v>66</v>
      </c>
      <c r="E105" s="2">
        <f>1216+850</f>
        <v>2066</v>
      </c>
      <c r="F105" s="115">
        <f t="shared" si="8"/>
        <v>0.3912878787878788</v>
      </c>
      <c r="G105" s="105" t="s">
        <v>158</v>
      </c>
      <c r="H105" s="105" t="s">
        <v>633</v>
      </c>
      <c r="I105" s="106" t="s">
        <v>634</v>
      </c>
      <c r="J105" s="112" t="s">
        <v>640</v>
      </c>
    </row>
    <row r="106" spans="1:10" ht="45" x14ac:dyDescent="0.25">
      <c r="A106" t="s">
        <v>12</v>
      </c>
      <c r="B106" s="29" t="s">
        <v>520</v>
      </c>
      <c r="C106" s="29" t="s">
        <v>513</v>
      </c>
      <c r="D106" s="34" t="s">
        <v>65</v>
      </c>
      <c r="E106" s="16">
        <v>2044</v>
      </c>
      <c r="F106" s="115">
        <f t="shared" si="8"/>
        <v>0.38712121212121214</v>
      </c>
      <c r="G106" s="105" t="s">
        <v>158</v>
      </c>
      <c r="H106" s="105" t="s">
        <v>633</v>
      </c>
      <c r="I106" s="106" t="s">
        <v>634</v>
      </c>
      <c r="J106" s="112" t="s">
        <v>641</v>
      </c>
    </row>
    <row r="107" spans="1:10" ht="30" x14ac:dyDescent="0.25">
      <c r="A107" t="s">
        <v>12</v>
      </c>
      <c r="B107" s="29" t="s">
        <v>520</v>
      </c>
      <c r="C107" s="29" t="s">
        <v>513</v>
      </c>
      <c r="D107" s="57" t="s">
        <v>259</v>
      </c>
      <c r="E107" s="16">
        <v>1050</v>
      </c>
      <c r="F107" s="115">
        <f t="shared" si="8"/>
        <v>0.19886363636363635</v>
      </c>
      <c r="G107" s="105" t="s">
        <v>158</v>
      </c>
      <c r="H107" s="105" t="s">
        <v>633</v>
      </c>
      <c r="I107" s="106" t="s">
        <v>634</v>
      </c>
      <c r="J107" s="112" t="s">
        <v>642</v>
      </c>
    </row>
    <row r="108" spans="1:10" ht="45" x14ac:dyDescent="0.25">
      <c r="A108" t="s">
        <v>12</v>
      </c>
      <c r="B108" s="29" t="s">
        <v>520</v>
      </c>
      <c r="C108" s="29" t="s">
        <v>513</v>
      </c>
      <c r="D108" s="34" t="s">
        <v>643</v>
      </c>
      <c r="E108" s="2" t="s">
        <v>319</v>
      </c>
      <c r="F108" s="105" t="s">
        <v>319</v>
      </c>
      <c r="G108" s="105" t="s">
        <v>158</v>
      </c>
      <c r="H108" s="105" t="s">
        <v>633</v>
      </c>
      <c r="I108" s="106" t="s">
        <v>634</v>
      </c>
      <c r="J108" s="112" t="s">
        <v>648</v>
      </c>
    </row>
    <row r="109" spans="1:10" s="104" customFormat="1" ht="60" x14ac:dyDescent="0.25">
      <c r="A109" s="104" t="s">
        <v>12</v>
      </c>
      <c r="B109" s="29" t="s">
        <v>520</v>
      </c>
      <c r="C109" s="29" t="s">
        <v>513</v>
      </c>
      <c r="D109" s="107" t="s">
        <v>644</v>
      </c>
      <c r="E109" s="105" t="s">
        <v>319</v>
      </c>
      <c r="F109" s="105" t="s">
        <v>319</v>
      </c>
      <c r="G109" s="105" t="s">
        <v>158</v>
      </c>
      <c r="H109" s="105" t="s">
        <v>633</v>
      </c>
      <c r="I109" s="106" t="s">
        <v>634</v>
      </c>
      <c r="J109" s="112" t="s">
        <v>649</v>
      </c>
    </row>
    <row r="110" spans="1:10" ht="30" x14ac:dyDescent="0.25">
      <c r="A110" t="s">
        <v>12</v>
      </c>
      <c r="B110" s="29" t="s">
        <v>520</v>
      </c>
      <c r="C110" s="29" t="s">
        <v>513</v>
      </c>
      <c r="D110" s="34" t="s">
        <v>67</v>
      </c>
      <c r="E110" s="16">
        <v>1300</v>
      </c>
      <c r="F110" s="115">
        <f>E110/5280</f>
        <v>0.24621212121212122</v>
      </c>
      <c r="G110" s="105" t="s">
        <v>158</v>
      </c>
      <c r="H110" s="105" t="s">
        <v>633</v>
      </c>
      <c r="I110" s="106" t="s">
        <v>634</v>
      </c>
      <c r="J110" s="112" t="s">
        <v>645</v>
      </c>
    </row>
    <row r="111" spans="1:10" s="104" customFormat="1" ht="60" x14ac:dyDescent="0.25">
      <c r="A111" s="104" t="s">
        <v>12</v>
      </c>
      <c r="B111" s="29" t="s">
        <v>520</v>
      </c>
      <c r="C111" s="52" t="s">
        <v>650</v>
      </c>
      <c r="D111" s="107" t="s">
        <v>651</v>
      </c>
      <c r="E111" s="16">
        <v>1500</v>
      </c>
      <c r="F111" s="115">
        <f>E111/5280</f>
        <v>0.28409090909090912</v>
      </c>
      <c r="G111" s="105">
        <v>2015</v>
      </c>
      <c r="H111" s="105">
        <v>2016</v>
      </c>
      <c r="I111" s="106" t="s">
        <v>652</v>
      </c>
      <c r="J111" s="112" t="s">
        <v>653</v>
      </c>
    </row>
    <row r="112" spans="1:10" ht="75" x14ac:dyDescent="0.25">
      <c r="A112" t="s">
        <v>12</v>
      </c>
      <c r="B112" s="29" t="s">
        <v>520</v>
      </c>
      <c r="C112" s="29" t="s">
        <v>515</v>
      </c>
      <c r="D112" s="34" t="s">
        <v>646</v>
      </c>
      <c r="E112" s="2" t="s">
        <v>249</v>
      </c>
      <c r="F112" s="105" t="s">
        <v>249</v>
      </c>
      <c r="G112" s="67">
        <v>1973</v>
      </c>
      <c r="I112" s="33" t="s">
        <v>54</v>
      </c>
      <c r="J112" s="112" t="s">
        <v>660</v>
      </c>
    </row>
    <row r="113" spans="1:10" s="104" customFormat="1" ht="45" x14ac:dyDescent="0.25">
      <c r="A113" s="104" t="s">
        <v>12</v>
      </c>
      <c r="B113" s="104" t="s">
        <v>520</v>
      </c>
      <c r="C113" s="104" t="s">
        <v>654</v>
      </c>
      <c r="D113" s="107" t="s">
        <v>655</v>
      </c>
      <c r="E113" s="16" t="s">
        <v>249</v>
      </c>
      <c r="F113" s="16" t="s">
        <v>249</v>
      </c>
      <c r="G113" s="67" t="s">
        <v>158</v>
      </c>
      <c r="H113" s="105">
        <v>2014</v>
      </c>
      <c r="I113" s="57" t="s">
        <v>657</v>
      </c>
      <c r="J113" s="57" t="s">
        <v>658</v>
      </c>
    </row>
    <row r="114" spans="1:10" s="104" customFormat="1" ht="45" x14ac:dyDescent="0.25">
      <c r="A114" s="104" t="s">
        <v>12</v>
      </c>
      <c r="B114" s="104" t="s">
        <v>520</v>
      </c>
      <c r="C114" s="104" t="s">
        <v>654</v>
      </c>
      <c r="D114" s="107" t="s">
        <v>656</v>
      </c>
      <c r="E114" s="16" t="s">
        <v>249</v>
      </c>
      <c r="F114" s="16" t="s">
        <v>249</v>
      </c>
      <c r="G114" s="67" t="s">
        <v>158</v>
      </c>
      <c r="H114" s="105">
        <v>2014</v>
      </c>
      <c r="I114" s="57" t="s">
        <v>657</v>
      </c>
      <c r="J114" s="57" t="s">
        <v>659</v>
      </c>
    </row>
    <row r="115" spans="1:10" ht="30" x14ac:dyDescent="0.25">
      <c r="A115" t="s">
        <v>12</v>
      </c>
      <c r="B115" s="29" t="s">
        <v>514</v>
      </c>
      <c r="C115" s="29" t="s">
        <v>514</v>
      </c>
      <c r="D115" s="34" t="s">
        <v>647</v>
      </c>
      <c r="E115" s="2" t="s">
        <v>249</v>
      </c>
      <c r="F115" s="105" t="s">
        <v>249</v>
      </c>
      <c r="G115" s="2">
        <v>1988</v>
      </c>
      <c r="I115" s="33" t="s">
        <v>69</v>
      </c>
      <c r="J115" s="112" t="s">
        <v>82</v>
      </c>
    </row>
    <row r="117" spans="1:10" x14ac:dyDescent="0.25">
      <c r="J117" s="111"/>
    </row>
    <row r="118" spans="1:10" x14ac:dyDescent="0.25">
      <c r="D118" s="5" t="s">
        <v>6</v>
      </c>
      <c r="E118" s="243">
        <f>SUM(E2:E115)</f>
        <v>120401</v>
      </c>
      <c r="F118" s="26">
        <f>SUM(F2:F115)-F119</f>
        <v>20.928977272727266</v>
      </c>
      <c r="G118" s="103" t="s">
        <v>684</v>
      </c>
    </row>
    <row r="119" spans="1:10" s="104" customFormat="1" x14ac:dyDescent="0.25">
      <c r="B119" s="11"/>
      <c r="C119" s="11"/>
      <c r="D119" s="5"/>
      <c r="E119" s="243"/>
      <c r="F119" s="26">
        <v>0.95</v>
      </c>
      <c r="G119" s="103" t="s">
        <v>154</v>
      </c>
      <c r="H119" s="105"/>
      <c r="I119" s="106"/>
      <c r="J119" s="107"/>
    </row>
    <row r="120" spans="1:10" s="104" customFormat="1" x14ac:dyDescent="0.25">
      <c r="B120" s="11"/>
      <c r="C120" s="11"/>
      <c r="D120" s="5"/>
      <c r="E120" s="243"/>
      <c r="F120" s="26"/>
      <c r="G120" s="116"/>
      <c r="H120" s="105"/>
      <c r="I120" s="106"/>
      <c r="J120" s="107"/>
    </row>
    <row r="122" spans="1:10" x14ac:dyDescent="0.25">
      <c r="A122" s="123" t="s">
        <v>247</v>
      </c>
      <c r="B122" s="124" t="s">
        <v>284</v>
      </c>
      <c r="D122" s="124"/>
    </row>
    <row r="123" spans="1:10" x14ac:dyDescent="0.25">
      <c r="A123" s="70"/>
      <c r="B123" s="124" t="s">
        <v>248</v>
      </c>
      <c r="D123" s="99"/>
    </row>
    <row r="124" spans="1:10" x14ac:dyDescent="0.25">
      <c r="A124" s="107"/>
      <c r="B124" s="124" t="s">
        <v>1411</v>
      </c>
      <c r="D124" s="124"/>
    </row>
    <row r="125" spans="1:10" x14ac:dyDescent="0.25">
      <c r="A125" s="11"/>
      <c r="B125" s="125" t="s">
        <v>484</v>
      </c>
      <c r="C125" s="29"/>
      <c r="D125" s="125"/>
    </row>
    <row r="126" spans="1:10" s="104" customFormat="1" x14ac:dyDescent="0.25">
      <c r="A126" s="11"/>
      <c r="B126" s="11"/>
      <c r="C126" s="234" t="s">
        <v>483</v>
      </c>
      <c r="D126" s="125"/>
      <c r="E126" s="105"/>
      <c r="F126" s="105"/>
      <c r="G126" s="105"/>
      <c r="H126" s="105"/>
      <c r="I126" s="106"/>
      <c r="J126" s="107"/>
    </row>
    <row r="128" spans="1:10" x14ac:dyDescent="0.25">
      <c r="D128" s="126" t="s">
        <v>250</v>
      </c>
    </row>
    <row r="129" spans="4:10" x14ac:dyDescent="0.25">
      <c r="D129" s="107" t="s">
        <v>74</v>
      </c>
      <c r="E129" s="104" t="s">
        <v>249</v>
      </c>
      <c r="G129" s="105" t="s">
        <v>75</v>
      </c>
      <c r="I129" s="106" t="s">
        <v>69</v>
      </c>
      <c r="J129" s="107" t="s">
        <v>251</v>
      </c>
    </row>
    <row r="130" spans="4:10" x14ac:dyDescent="0.25">
      <c r="D130" s="108" t="s">
        <v>109</v>
      </c>
      <c r="E130" s="104" t="s">
        <v>249</v>
      </c>
      <c r="F130" s="109"/>
      <c r="G130" s="105" t="s">
        <v>75</v>
      </c>
      <c r="I130" s="106" t="s">
        <v>69</v>
      </c>
      <c r="J130" s="107" t="s">
        <v>251</v>
      </c>
    </row>
    <row r="131" spans="4:10" x14ac:dyDescent="0.25">
      <c r="D131" s="108" t="s">
        <v>110</v>
      </c>
      <c r="E131" s="104" t="s">
        <v>249</v>
      </c>
      <c r="F131" s="109"/>
      <c r="G131" s="105" t="s">
        <v>75</v>
      </c>
      <c r="I131" s="106" t="s">
        <v>69</v>
      </c>
      <c r="J131" s="107" t="s">
        <v>251</v>
      </c>
    </row>
    <row r="132" spans="4:10" x14ac:dyDescent="0.25">
      <c r="D132" s="107" t="s">
        <v>111</v>
      </c>
      <c r="E132" s="104" t="s">
        <v>249</v>
      </c>
      <c r="G132" s="105" t="s">
        <v>75</v>
      </c>
      <c r="I132" s="106" t="s">
        <v>69</v>
      </c>
      <c r="J132" s="107" t="s">
        <v>251</v>
      </c>
    </row>
    <row r="133" spans="4:10" x14ac:dyDescent="0.25">
      <c r="D133" s="107" t="s">
        <v>112</v>
      </c>
      <c r="E133" s="104" t="s">
        <v>249</v>
      </c>
      <c r="G133" s="105" t="s">
        <v>75</v>
      </c>
      <c r="I133" s="106" t="s">
        <v>69</v>
      </c>
      <c r="J133" s="107" t="s">
        <v>251</v>
      </c>
    </row>
    <row r="134" spans="4:10" x14ac:dyDescent="0.25">
      <c r="D134" s="107" t="s">
        <v>113</v>
      </c>
      <c r="E134" s="104" t="s">
        <v>249</v>
      </c>
      <c r="G134" s="105" t="s">
        <v>75</v>
      </c>
      <c r="I134" s="106" t="s">
        <v>69</v>
      </c>
      <c r="J134" s="107" t="s">
        <v>251</v>
      </c>
    </row>
    <row r="135" spans="4:10" ht="30" x14ac:dyDescent="0.25">
      <c r="D135" s="112" t="s">
        <v>114</v>
      </c>
      <c r="E135" s="104" t="s">
        <v>249</v>
      </c>
      <c r="G135" s="105" t="s">
        <v>75</v>
      </c>
      <c r="I135" s="106" t="s">
        <v>69</v>
      </c>
      <c r="J135" s="107" t="s">
        <v>251</v>
      </c>
    </row>
    <row r="136" spans="4:10" x14ac:dyDescent="0.25">
      <c r="D136" s="112" t="s">
        <v>115</v>
      </c>
      <c r="E136" s="104" t="s">
        <v>249</v>
      </c>
      <c r="G136" s="105" t="s">
        <v>75</v>
      </c>
      <c r="I136" s="106" t="s">
        <v>69</v>
      </c>
      <c r="J136" s="107" t="s">
        <v>251</v>
      </c>
    </row>
    <row r="137" spans="4:10" x14ac:dyDescent="0.25">
      <c r="D137" s="108" t="s">
        <v>79</v>
      </c>
      <c r="E137" s="104" t="s">
        <v>249</v>
      </c>
      <c r="F137" s="109"/>
      <c r="G137" s="109" t="s">
        <v>75</v>
      </c>
      <c r="H137" s="109"/>
      <c r="I137" s="108" t="s">
        <v>69</v>
      </c>
      <c r="J137" s="107" t="s">
        <v>251</v>
      </c>
    </row>
    <row r="138" spans="4:10" x14ac:dyDescent="0.25">
      <c r="D138" s="108" t="s">
        <v>80</v>
      </c>
      <c r="E138" s="104" t="s">
        <v>249</v>
      </c>
      <c r="F138" s="109"/>
      <c r="G138" s="109" t="s">
        <v>75</v>
      </c>
      <c r="H138" s="109"/>
      <c r="I138" s="108" t="s">
        <v>69</v>
      </c>
      <c r="J138" s="107" t="s">
        <v>251</v>
      </c>
    </row>
    <row r="139" spans="4:10" x14ac:dyDescent="0.25">
      <c r="D139" s="108" t="s">
        <v>90</v>
      </c>
      <c r="E139" s="104" t="s">
        <v>249</v>
      </c>
      <c r="G139" s="105" t="s">
        <v>75</v>
      </c>
      <c r="I139" s="114" t="s">
        <v>69</v>
      </c>
      <c r="J139" s="107" t="s">
        <v>251</v>
      </c>
    </row>
    <row r="140" spans="4:10" x14ac:dyDescent="0.25">
      <c r="D140" s="107" t="s">
        <v>91</v>
      </c>
      <c r="E140" s="104" t="s">
        <v>249</v>
      </c>
      <c r="G140" s="105" t="s">
        <v>75</v>
      </c>
      <c r="I140" s="114" t="s">
        <v>69</v>
      </c>
      <c r="J140" s="107" t="s">
        <v>251</v>
      </c>
    </row>
    <row r="141" spans="4:10" x14ac:dyDescent="0.25">
      <c r="D141" s="108" t="s">
        <v>89</v>
      </c>
      <c r="E141" s="104" t="s">
        <v>249</v>
      </c>
      <c r="G141" s="105" t="s">
        <v>75</v>
      </c>
      <c r="I141" s="114" t="s">
        <v>69</v>
      </c>
      <c r="J141" s="107" t="s">
        <v>251</v>
      </c>
    </row>
    <row r="142" spans="4:10" x14ac:dyDescent="0.25">
      <c r="D142" s="108" t="s">
        <v>86</v>
      </c>
      <c r="E142" s="104" t="s">
        <v>249</v>
      </c>
      <c r="G142" s="105" t="s">
        <v>75</v>
      </c>
      <c r="I142" s="106" t="s">
        <v>69</v>
      </c>
      <c r="J142" s="107" t="s">
        <v>251</v>
      </c>
    </row>
    <row r="143" spans="4:10" x14ac:dyDescent="0.25">
      <c r="D143" s="107" t="s">
        <v>93</v>
      </c>
      <c r="E143" s="104" t="s">
        <v>249</v>
      </c>
      <c r="G143" s="105" t="s">
        <v>75</v>
      </c>
      <c r="H143" s="39"/>
      <c r="I143" s="106" t="s">
        <v>69</v>
      </c>
      <c r="J143" s="107" t="s">
        <v>251</v>
      </c>
    </row>
    <row r="144" spans="4:10" x14ac:dyDescent="0.25">
      <c r="D144" s="107" t="s">
        <v>94</v>
      </c>
      <c r="E144" s="104" t="s">
        <v>249</v>
      </c>
      <c r="G144" s="105" t="s">
        <v>75</v>
      </c>
      <c r="H144" s="39"/>
      <c r="I144" s="106" t="s">
        <v>69</v>
      </c>
      <c r="J144" s="107" t="s">
        <v>251</v>
      </c>
    </row>
    <row r="145" spans="4:10" x14ac:dyDescent="0.25">
      <c r="D145" s="107" t="s">
        <v>96</v>
      </c>
      <c r="E145" s="104" t="s">
        <v>249</v>
      </c>
      <c r="G145" s="105" t="s">
        <v>75</v>
      </c>
      <c r="H145" s="39"/>
      <c r="I145" s="106" t="s">
        <v>69</v>
      </c>
      <c r="J145" s="107" t="s">
        <v>251</v>
      </c>
    </row>
    <row r="146" spans="4:10" x14ac:dyDescent="0.25">
      <c r="D146" s="107" t="s">
        <v>95</v>
      </c>
      <c r="E146" s="104" t="s">
        <v>249</v>
      </c>
      <c r="G146" s="105" t="s">
        <v>75</v>
      </c>
      <c r="H146" s="39"/>
      <c r="I146" s="106" t="s">
        <v>69</v>
      </c>
      <c r="J146" s="107" t="s">
        <v>251</v>
      </c>
    </row>
    <row r="147" spans="4:10" x14ac:dyDescent="0.25">
      <c r="D147" s="107" t="s">
        <v>97</v>
      </c>
      <c r="E147" s="104" t="s">
        <v>249</v>
      </c>
      <c r="G147" s="105" t="s">
        <v>75</v>
      </c>
      <c r="H147" s="39"/>
      <c r="I147" s="106" t="s">
        <v>69</v>
      </c>
      <c r="J147" s="107" t="s">
        <v>251</v>
      </c>
    </row>
    <row r="148" spans="4:10" x14ac:dyDescent="0.25">
      <c r="D148" s="107" t="s">
        <v>99</v>
      </c>
      <c r="E148" s="104" t="s">
        <v>249</v>
      </c>
      <c r="G148" s="105" t="s">
        <v>75</v>
      </c>
      <c r="H148" s="39"/>
      <c r="I148" s="106" t="s">
        <v>69</v>
      </c>
      <c r="J148" s="107" t="s">
        <v>251</v>
      </c>
    </row>
    <row r="149" spans="4:10" x14ac:dyDescent="0.25">
      <c r="D149" s="107" t="s">
        <v>100</v>
      </c>
      <c r="E149" s="104" t="s">
        <v>249</v>
      </c>
      <c r="G149" s="105" t="s">
        <v>75</v>
      </c>
      <c r="H149" s="39"/>
      <c r="I149" s="106" t="s">
        <v>69</v>
      </c>
      <c r="J149" s="107" t="s">
        <v>251</v>
      </c>
    </row>
    <row r="150" spans="4:10" x14ac:dyDescent="0.25">
      <c r="D150" s="107" t="s">
        <v>101</v>
      </c>
      <c r="E150" s="104" t="s">
        <v>249</v>
      </c>
      <c r="G150" s="105" t="s">
        <v>75</v>
      </c>
      <c r="H150" s="39"/>
      <c r="I150" s="106" t="s">
        <v>69</v>
      </c>
      <c r="J150" s="107" t="s">
        <v>251</v>
      </c>
    </row>
    <row r="151" spans="4:10" x14ac:dyDescent="0.25">
      <c r="D151" s="107" t="s">
        <v>98</v>
      </c>
      <c r="E151" s="104" t="s">
        <v>249</v>
      </c>
      <c r="G151" s="105" t="s">
        <v>75</v>
      </c>
      <c r="H151" s="39"/>
      <c r="I151" s="106" t="s">
        <v>69</v>
      </c>
      <c r="J151" s="107" t="s">
        <v>251</v>
      </c>
    </row>
    <row r="152" spans="4:10" x14ac:dyDescent="0.25">
      <c r="D152" s="107" t="s">
        <v>102</v>
      </c>
      <c r="E152" s="104" t="s">
        <v>249</v>
      </c>
      <c r="G152" s="105" t="s">
        <v>75</v>
      </c>
      <c r="H152" s="39"/>
      <c r="I152" s="106" t="s">
        <v>69</v>
      </c>
      <c r="J152" s="107" t="s">
        <v>251</v>
      </c>
    </row>
    <row r="153" spans="4:10" x14ac:dyDescent="0.25">
      <c r="D153" s="107" t="s">
        <v>103</v>
      </c>
      <c r="E153" s="104" t="s">
        <v>249</v>
      </c>
      <c r="G153" s="105" t="s">
        <v>75</v>
      </c>
      <c r="H153" s="39"/>
      <c r="I153" s="106" t="s">
        <v>69</v>
      </c>
      <c r="J153" s="107" t="s">
        <v>251</v>
      </c>
    </row>
    <row r="154" spans="4:10" x14ac:dyDescent="0.25">
      <c r="D154" s="107" t="s">
        <v>104</v>
      </c>
      <c r="E154" s="104" t="s">
        <v>249</v>
      </c>
      <c r="G154" s="105" t="s">
        <v>75</v>
      </c>
      <c r="H154" s="39"/>
      <c r="I154" s="106" t="s">
        <v>69</v>
      </c>
      <c r="J154" s="107" t="s">
        <v>251</v>
      </c>
    </row>
    <row r="155" spans="4:10" x14ac:dyDescent="0.25">
      <c r="D155" s="107" t="s">
        <v>105</v>
      </c>
      <c r="E155" s="104" t="s">
        <v>249</v>
      </c>
      <c r="G155" s="105" t="s">
        <v>75</v>
      </c>
      <c r="H155" s="39"/>
      <c r="I155" s="106" t="s">
        <v>69</v>
      </c>
      <c r="J155" s="107" t="s">
        <v>251</v>
      </c>
    </row>
    <row r="156" spans="4:10" x14ac:dyDescent="0.25">
      <c r="D156" s="107" t="s">
        <v>84</v>
      </c>
      <c r="E156" s="104" t="s">
        <v>249</v>
      </c>
      <c r="G156" s="105" t="s">
        <v>75</v>
      </c>
      <c r="I156" s="106" t="s">
        <v>69</v>
      </c>
      <c r="J156" s="107" t="s">
        <v>251</v>
      </c>
    </row>
  </sheetData>
  <mergeCells count="1">
    <mergeCell ref="J24:K24"/>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5"/>
  <sheetViews>
    <sheetView workbookViewId="0"/>
  </sheetViews>
  <sheetFormatPr defaultRowHeight="15" x14ac:dyDescent="0.25"/>
  <cols>
    <col min="1" max="1" width="9.140625" style="62"/>
    <col min="2" max="2" width="14.28515625" style="11" customWidth="1"/>
    <col min="3" max="3" width="17.28515625" style="11" customWidth="1"/>
    <col min="4" max="4" width="38.5703125" style="60" customWidth="1"/>
    <col min="5" max="5" width="14.28515625" style="60" customWidth="1"/>
    <col min="6" max="6" width="14.85546875" style="60" customWidth="1"/>
    <col min="7" max="7" width="11.42578125" style="60" customWidth="1"/>
    <col min="8" max="8" width="17.7109375" style="60" customWidth="1"/>
    <col min="9" max="9" width="22.7109375" style="83" customWidth="1"/>
    <col min="10" max="10" width="71.7109375" style="83" customWidth="1"/>
    <col min="11" max="11" width="10.140625" style="60" customWidth="1"/>
    <col min="12" max="12" width="29" style="60" customWidth="1"/>
    <col min="13" max="14" width="9.140625" style="60"/>
    <col min="15" max="15" width="12.42578125" style="60" customWidth="1"/>
    <col min="16" max="16" width="28.7109375" style="60" customWidth="1"/>
    <col min="17" max="17" width="10.42578125" style="60" customWidth="1"/>
    <col min="18" max="18" width="18.28515625" style="60" customWidth="1"/>
    <col min="19" max="20" width="13.42578125" style="60" customWidth="1"/>
    <col min="21" max="21" width="5.7109375" style="60" customWidth="1"/>
    <col min="22" max="22" width="44.7109375" style="60" customWidth="1"/>
    <col min="23" max="16384" width="9.140625" style="60"/>
  </cols>
  <sheetData>
    <row r="1" spans="1:19" ht="60" x14ac:dyDescent="0.25">
      <c r="A1" s="61" t="s">
        <v>0</v>
      </c>
      <c r="B1" s="48" t="s">
        <v>263</v>
      </c>
      <c r="C1" s="48" t="s">
        <v>264</v>
      </c>
      <c r="D1" s="61" t="s">
        <v>1</v>
      </c>
      <c r="E1" s="61" t="s">
        <v>5</v>
      </c>
      <c r="F1" s="61" t="s">
        <v>3</v>
      </c>
      <c r="G1" s="61" t="s">
        <v>2</v>
      </c>
      <c r="H1" s="48" t="s">
        <v>267</v>
      </c>
      <c r="I1" s="61" t="s">
        <v>4</v>
      </c>
      <c r="J1" s="61" t="s">
        <v>7</v>
      </c>
      <c r="K1" s="62"/>
      <c r="M1" s="62"/>
    </row>
    <row r="2" spans="1:19" ht="45" x14ac:dyDescent="0.25">
      <c r="A2" s="46" t="s">
        <v>30</v>
      </c>
      <c r="B2" s="77" t="s">
        <v>1040</v>
      </c>
      <c r="C2" s="77" t="s">
        <v>1041</v>
      </c>
      <c r="D2" s="259" t="s">
        <v>1045</v>
      </c>
      <c r="E2" s="238">
        <v>1440</v>
      </c>
      <c r="F2" s="115">
        <f>E2/5280</f>
        <v>0.27272727272727271</v>
      </c>
      <c r="G2" s="109">
        <v>2004</v>
      </c>
      <c r="H2" s="117">
        <v>2010</v>
      </c>
      <c r="I2" s="107" t="s">
        <v>1047</v>
      </c>
      <c r="J2" s="260" t="s">
        <v>1048</v>
      </c>
      <c r="K2" s="62"/>
      <c r="M2" s="62"/>
    </row>
    <row r="3" spans="1:19" ht="30" x14ac:dyDescent="0.25">
      <c r="A3" s="46" t="s">
        <v>30</v>
      </c>
      <c r="B3" s="77" t="s">
        <v>1040</v>
      </c>
      <c r="C3" s="77" t="s">
        <v>1041</v>
      </c>
      <c r="D3" s="259" t="s">
        <v>1046</v>
      </c>
      <c r="E3" s="109">
        <v>185</v>
      </c>
      <c r="F3" s="115">
        <f>E3/5280</f>
        <v>3.5037878787878785E-2</v>
      </c>
      <c r="G3" s="109">
        <v>2007</v>
      </c>
      <c r="H3" s="117"/>
      <c r="I3" s="107" t="s">
        <v>1049</v>
      </c>
      <c r="J3" s="107" t="s">
        <v>1050</v>
      </c>
      <c r="K3" s="62"/>
      <c r="M3" s="62"/>
    </row>
    <row r="4" spans="1:19" s="279" customFormat="1" ht="60" x14ac:dyDescent="0.25">
      <c r="A4" s="284" t="s">
        <v>30</v>
      </c>
      <c r="B4" s="244" t="s">
        <v>1040</v>
      </c>
      <c r="C4" s="244" t="s">
        <v>1041</v>
      </c>
      <c r="D4" s="236" t="s">
        <v>1042</v>
      </c>
      <c r="E4" s="235" t="s">
        <v>249</v>
      </c>
      <c r="F4" s="235" t="s">
        <v>249</v>
      </c>
      <c r="G4" s="153" t="s">
        <v>154</v>
      </c>
      <c r="H4" s="280"/>
      <c r="I4" s="236" t="s">
        <v>1043</v>
      </c>
      <c r="J4" s="236" t="s">
        <v>1044</v>
      </c>
      <c r="K4" s="281"/>
      <c r="M4" s="281"/>
    </row>
    <row r="5" spans="1:19" ht="45" x14ac:dyDescent="0.25">
      <c r="A5" s="46" t="s">
        <v>30</v>
      </c>
      <c r="B5" s="77" t="s">
        <v>1040</v>
      </c>
      <c r="C5" s="77" t="s">
        <v>1041</v>
      </c>
      <c r="D5" s="259" t="s">
        <v>1042</v>
      </c>
      <c r="E5" s="109">
        <v>21</v>
      </c>
      <c r="F5" s="282">
        <f>E5/5280</f>
        <v>3.9772727272727269E-3</v>
      </c>
      <c r="G5" s="109">
        <v>2007</v>
      </c>
      <c r="H5" s="117">
        <v>2011</v>
      </c>
      <c r="I5" s="260" t="s">
        <v>1051</v>
      </c>
      <c r="J5" s="107" t="s">
        <v>1052</v>
      </c>
      <c r="K5" s="62"/>
      <c r="M5" s="62"/>
    </row>
    <row r="6" spans="1:19" ht="60" x14ac:dyDescent="0.25">
      <c r="A6" s="46" t="s">
        <v>30</v>
      </c>
      <c r="B6" s="77" t="s">
        <v>1040</v>
      </c>
      <c r="C6" s="77" t="s">
        <v>1040</v>
      </c>
      <c r="D6" s="259" t="s">
        <v>1053</v>
      </c>
      <c r="E6" s="238">
        <v>1320</v>
      </c>
      <c r="F6" s="115">
        <f>E6/5280</f>
        <v>0.25</v>
      </c>
      <c r="G6" s="109">
        <v>2003</v>
      </c>
      <c r="H6" s="117">
        <v>2007</v>
      </c>
      <c r="I6" s="107" t="s">
        <v>1054</v>
      </c>
      <c r="J6" s="107" t="s">
        <v>1055</v>
      </c>
      <c r="K6" s="62"/>
      <c r="M6" s="62"/>
    </row>
    <row r="7" spans="1:19" ht="30" x14ac:dyDescent="0.25">
      <c r="A7" s="46" t="s">
        <v>30</v>
      </c>
      <c r="B7" s="77" t="s">
        <v>1040</v>
      </c>
      <c r="C7" s="77" t="s">
        <v>1040</v>
      </c>
      <c r="D7" s="259" t="s">
        <v>1056</v>
      </c>
      <c r="E7" s="109">
        <v>700</v>
      </c>
      <c r="F7" s="115">
        <f>E7/5280</f>
        <v>0.13257575757575757</v>
      </c>
      <c r="G7" s="109">
        <v>2006</v>
      </c>
      <c r="H7" s="117"/>
      <c r="I7" s="107" t="s">
        <v>1058</v>
      </c>
      <c r="J7" s="107" t="s">
        <v>1057</v>
      </c>
      <c r="K7" s="62"/>
      <c r="M7" s="62"/>
    </row>
    <row r="8" spans="1:19" ht="30" x14ac:dyDescent="0.25">
      <c r="A8" s="46" t="s">
        <v>30</v>
      </c>
      <c r="B8" s="77" t="s">
        <v>1040</v>
      </c>
      <c r="C8" s="77" t="s">
        <v>1040</v>
      </c>
      <c r="D8" s="259" t="s">
        <v>1061</v>
      </c>
      <c r="E8" s="109">
        <v>290</v>
      </c>
      <c r="F8" s="115">
        <f>E8/5280</f>
        <v>5.4924242424242424E-2</v>
      </c>
      <c r="G8" s="109">
        <v>2012</v>
      </c>
      <c r="H8" s="117"/>
      <c r="I8" s="107" t="s">
        <v>1060</v>
      </c>
      <c r="J8" s="107" t="s">
        <v>1059</v>
      </c>
      <c r="K8" s="62"/>
      <c r="M8" s="62"/>
    </row>
    <row r="9" spans="1:19" ht="30" x14ac:dyDescent="0.25">
      <c r="A9" s="46" t="s">
        <v>30</v>
      </c>
      <c r="B9" s="77" t="s">
        <v>1040</v>
      </c>
      <c r="C9" s="77" t="s">
        <v>1062</v>
      </c>
      <c r="D9" s="259" t="s">
        <v>1063</v>
      </c>
      <c r="E9" s="109">
        <v>700</v>
      </c>
      <c r="F9" s="258" t="s">
        <v>853</v>
      </c>
      <c r="G9" s="109">
        <v>2009</v>
      </c>
      <c r="H9" s="117"/>
      <c r="I9" s="107" t="s">
        <v>1065</v>
      </c>
      <c r="J9" s="107" t="s">
        <v>1064</v>
      </c>
      <c r="K9" s="62"/>
      <c r="M9" s="62"/>
    </row>
    <row r="10" spans="1:19" ht="60" x14ac:dyDescent="0.25">
      <c r="A10" s="46" t="s">
        <v>30</v>
      </c>
      <c r="B10" s="77" t="s">
        <v>1040</v>
      </c>
      <c r="C10" s="77" t="s">
        <v>1062</v>
      </c>
      <c r="D10" s="259" t="s">
        <v>1066</v>
      </c>
      <c r="E10" s="238">
        <v>1130</v>
      </c>
      <c r="F10" s="115">
        <f t="shared" ref="F10:F16" si="0">E10/5280</f>
        <v>0.21401515151515152</v>
      </c>
      <c r="G10" s="109">
        <v>2013</v>
      </c>
      <c r="H10" s="117"/>
      <c r="I10" s="107" t="s">
        <v>1067</v>
      </c>
      <c r="J10" s="107" t="s">
        <v>1068</v>
      </c>
      <c r="K10" s="62"/>
      <c r="M10" s="62"/>
    </row>
    <row r="11" spans="1:19" ht="30" x14ac:dyDescent="0.25">
      <c r="A11" s="46" t="s">
        <v>30</v>
      </c>
      <c r="B11" s="77" t="s">
        <v>1069</v>
      </c>
      <c r="C11" s="77" t="s">
        <v>1070</v>
      </c>
      <c r="D11" s="259" t="s">
        <v>1071</v>
      </c>
      <c r="E11" s="238">
        <v>1060</v>
      </c>
      <c r="F11" s="115">
        <f t="shared" si="0"/>
        <v>0.20075757575757575</v>
      </c>
      <c r="G11" s="109">
        <v>2007</v>
      </c>
      <c r="H11" s="117"/>
      <c r="I11" s="107" t="s">
        <v>1073</v>
      </c>
      <c r="J11" s="107" t="s">
        <v>1072</v>
      </c>
      <c r="K11" s="62"/>
      <c r="M11" s="62"/>
    </row>
    <row r="12" spans="1:19" ht="45" x14ac:dyDescent="0.25">
      <c r="A12" s="46" t="s">
        <v>30</v>
      </c>
      <c r="B12" s="77" t="s">
        <v>1069</v>
      </c>
      <c r="C12" s="77" t="s">
        <v>1070</v>
      </c>
      <c r="D12" s="259" t="s">
        <v>1074</v>
      </c>
      <c r="E12" s="238">
        <v>210</v>
      </c>
      <c r="F12" s="115">
        <f t="shared" si="0"/>
        <v>3.9772727272727272E-2</v>
      </c>
      <c r="G12" s="109">
        <v>2005</v>
      </c>
      <c r="H12" s="117" t="s">
        <v>1076</v>
      </c>
      <c r="I12" s="107" t="s">
        <v>1078</v>
      </c>
      <c r="J12" s="107" t="s">
        <v>1077</v>
      </c>
      <c r="K12" s="62"/>
      <c r="M12" s="62"/>
    </row>
    <row r="13" spans="1:19" ht="135" x14ac:dyDescent="0.25">
      <c r="A13" s="46" t="s">
        <v>30</v>
      </c>
      <c r="B13" s="77" t="s">
        <v>1069</v>
      </c>
      <c r="C13" s="77" t="s">
        <v>1070</v>
      </c>
      <c r="D13" s="259" t="s">
        <v>1075</v>
      </c>
      <c r="E13" s="238">
        <v>2580</v>
      </c>
      <c r="F13" s="115">
        <f t="shared" si="0"/>
        <v>0.48863636363636365</v>
      </c>
      <c r="G13" s="109" t="s">
        <v>1079</v>
      </c>
      <c r="H13" s="117" t="s">
        <v>1080</v>
      </c>
      <c r="I13" s="107" t="s">
        <v>1082</v>
      </c>
      <c r="J13" s="107" t="s">
        <v>1081</v>
      </c>
      <c r="K13" s="62"/>
      <c r="M13" s="62"/>
    </row>
    <row r="14" spans="1:19" ht="30" x14ac:dyDescent="0.25">
      <c r="A14" s="46" t="s">
        <v>30</v>
      </c>
      <c r="B14" s="77" t="s">
        <v>1069</v>
      </c>
      <c r="C14" s="77" t="s">
        <v>1070</v>
      </c>
      <c r="D14" s="259" t="s">
        <v>1083</v>
      </c>
      <c r="E14" s="238">
        <v>115</v>
      </c>
      <c r="F14" s="115">
        <f t="shared" si="0"/>
        <v>2.1780303030303032E-2</v>
      </c>
      <c r="G14" s="109">
        <v>2007</v>
      </c>
      <c r="H14" s="117"/>
      <c r="I14" s="107" t="s">
        <v>1086</v>
      </c>
      <c r="J14" s="107" t="s">
        <v>1085</v>
      </c>
      <c r="K14" s="62"/>
      <c r="M14" s="62"/>
    </row>
    <row r="15" spans="1:19" ht="30" x14ac:dyDescent="0.25">
      <c r="A15" s="46" t="s">
        <v>30</v>
      </c>
      <c r="B15" s="77" t="s">
        <v>1069</v>
      </c>
      <c r="C15" s="77" t="s">
        <v>1070</v>
      </c>
      <c r="D15" s="259" t="s">
        <v>1084</v>
      </c>
      <c r="E15" s="238">
        <v>125</v>
      </c>
      <c r="F15" s="115">
        <f t="shared" si="0"/>
        <v>2.3674242424242424E-2</v>
      </c>
      <c r="G15" s="109">
        <v>2011</v>
      </c>
      <c r="H15" s="117"/>
      <c r="I15" s="107" t="s">
        <v>1088</v>
      </c>
      <c r="J15" s="107" t="s">
        <v>1087</v>
      </c>
      <c r="K15" s="62"/>
      <c r="M15" s="62"/>
    </row>
    <row r="16" spans="1:19" ht="45" x14ac:dyDescent="0.25">
      <c r="A16" s="46" t="s">
        <v>30</v>
      </c>
      <c r="B16" s="77" t="s">
        <v>1069</v>
      </c>
      <c r="C16" s="77" t="s">
        <v>1070</v>
      </c>
      <c r="D16" s="43" t="s">
        <v>116</v>
      </c>
      <c r="E16" s="46">
        <v>5280</v>
      </c>
      <c r="F16" s="27">
        <f t="shared" si="0"/>
        <v>1</v>
      </c>
      <c r="G16" s="46">
        <v>1955</v>
      </c>
      <c r="H16" s="43"/>
      <c r="I16" s="54" t="s">
        <v>145</v>
      </c>
      <c r="J16" s="54" t="s">
        <v>1089</v>
      </c>
      <c r="K16" s="28"/>
      <c r="L16" s="43"/>
      <c r="M16" s="46"/>
      <c r="N16" s="43"/>
      <c r="O16" s="43"/>
      <c r="P16" s="43"/>
      <c r="Q16" s="43"/>
      <c r="S16" s="43"/>
    </row>
    <row r="17" spans="1:19" ht="75" x14ac:dyDescent="0.25">
      <c r="A17" s="46" t="s">
        <v>30</v>
      </c>
      <c r="B17" s="77" t="s">
        <v>1069</v>
      </c>
      <c r="C17" s="77" t="s">
        <v>1070</v>
      </c>
      <c r="D17" s="54" t="s">
        <v>1090</v>
      </c>
      <c r="E17" s="46" t="s">
        <v>249</v>
      </c>
      <c r="F17" s="46" t="s">
        <v>249</v>
      </c>
      <c r="G17" s="46" t="s">
        <v>216</v>
      </c>
      <c r="H17" s="43"/>
      <c r="I17" s="54" t="s">
        <v>218</v>
      </c>
      <c r="J17" s="54" t="s">
        <v>217</v>
      </c>
      <c r="K17" s="27"/>
      <c r="L17" s="43"/>
      <c r="M17" s="46"/>
      <c r="N17" s="43"/>
      <c r="O17" s="43"/>
      <c r="P17" s="43"/>
      <c r="Q17" s="43"/>
      <c r="S17" s="43"/>
    </row>
    <row r="18" spans="1:19" ht="30" x14ac:dyDescent="0.25">
      <c r="A18" s="46" t="s">
        <v>30</v>
      </c>
      <c r="B18" s="77" t="s">
        <v>1069</v>
      </c>
      <c r="C18" s="77" t="s">
        <v>1070</v>
      </c>
      <c r="D18" s="54" t="s">
        <v>1091</v>
      </c>
      <c r="E18" s="46">
        <v>140</v>
      </c>
      <c r="F18" s="115">
        <f t="shared" ref="F18:F70" si="1">E18/5280</f>
        <v>2.6515151515151516E-2</v>
      </c>
      <c r="G18" s="46">
        <v>2001</v>
      </c>
      <c r="H18" s="43"/>
      <c r="I18" s="107" t="s">
        <v>1093</v>
      </c>
      <c r="J18" s="107" t="s">
        <v>1092</v>
      </c>
      <c r="K18" s="27"/>
      <c r="L18" s="43"/>
      <c r="M18" s="46"/>
      <c r="N18" s="43"/>
      <c r="O18" s="43"/>
      <c r="P18" s="43"/>
      <c r="Q18" s="43"/>
      <c r="S18" s="43"/>
    </row>
    <row r="19" spans="1:19" ht="45" x14ac:dyDescent="0.25">
      <c r="A19" s="46" t="s">
        <v>30</v>
      </c>
      <c r="B19" s="77" t="s">
        <v>1069</v>
      </c>
      <c r="C19" s="77" t="s">
        <v>1070</v>
      </c>
      <c r="D19" s="54" t="s">
        <v>1094</v>
      </c>
      <c r="E19" s="46">
        <v>65</v>
      </c>
      <c r="F19" s="282">
        <f t="shared" si="1"/>
        <v>1.231060606060606E-2</v>
      </c>
      <c r="G19" s="46">
        <v>2004</v>
      </c>
      <c r="H19" s="46">
        <v>2009</v>
      </c>
      <c r="I19" s="107" t="s">
        <v>1096</v>
      </c>
      <c r="J19" s="107" t="s">
        <v>1095</v>
      </c>
      <c r="K19" s="27"/>
      <c r="L19" s="43"/>
      <c r="M19" s="46"/>
      <c r="N19" s="43"/>
      <c r="O19" s="43"/>
      <c r="P19" s="43"/>
      <c r="Q19" s="43"/>
      <c r="S19" s="43"/>
    </row>
    <row r="20" spans="1:19" ht="30" x14ac:dyDescent="0.25">
      <c r="A20" s="46" t="s">
        <v>30</v>
      </c>
      <c r="B20" s="77" t="s">
        <v>1069</v>
      </c>
      <c r="C20" s="77" t="s">
        <v>1070</v>
      </c>
      <c r="D20" s="54" t="s">
        <v>1097</v>
      </c>
      <c r="E20" s="46">
        <v>50</v>
      </c>
      <c r="F20" s="282">
        <f t="shared" si="1"/>
        <v>9.46969696969697E-3</v>
      </c>
      <c r="G20" s="46">
        <v>2007</v>
      </c>
      <c r="H20" s="46"/>
      <c r="I20" s="107" t="s">
        <v>1099</v>
      </c>
      <c r="J20" s="107" t="s">
        <v>1098</v>
      </c>
      <c r="K20" s="27"/>
      <c r="L20" s="43"/>
      <c r="M20" s="46"/>
      <c r="N20" s="43"/>
      <c r="O20" s="43"/>
      <c r="P20" s="43"/>
      <c r="Q20" s="43"/>
      <c r="S20" s="43"/>
    </row>
    <row r="21" spans="1:19" ht="30" x14ac:dyDescent="0.25">
      <c r="A21" s="46" t="s">
        <v>30</v>
      </c>
      <c r="B21" s="77" t="s">
        <v>1069</v>
      </c>
      <c r="C21" s="77" t="s">
        <v>1100</v>
      </c>
      <c r="D21" s="54" t="s">
        <v>1101</v>
      </c>
      <c r="E21" s="46">
        <v>95</v>
      </c>
      <c r="F21" s="115">
        <f t="shared" si="1"/>
        <v>1.7992424242424244E-2</v>
      </c>
      <c r="G21" s="46">
        <v>2007</v>
      </c>
      <c r="H21" s="46"/>
      <c r="I21" s="107" t="s">
        <v>1111</v>
      </c>
      <c r="J21" s="107"/>
      <c r="K21" s="27"/>
      <c r="L21" s="43"/>
      <c r="M21" s="46"/>
      <c r="N21" s="43"/>
      <c r="O21" s="43"/>
      <c r="P21" s="43"/>
      <c r="Q21" s="43"/>
      <c r="S21" s="43"/>
    </row>
    <row r="22" spans="1:19" ht="45" x14ac:dyDescent="0.25">
      <c r="A22" s="46" t="s">
        <v>30</v>
      </c>
      <c r="B22" s="77" t="s">
        <v>1069</v>
      </c>
      <c r="C22" s="77" t="s">
        <v>1100</v>
      </c>
      <c r="D22" s="54" t="s">
        <v>1112</v>
      </c>
      <c r="E22" s="46">
        <v>80</v>
      </c>
      <c r="F22" s="115">
        <f t="shared" si="1"/>
        <v>1.5151515151515152E-2</v>
      </c>
      <c r="G22" s="46">
        <v>2007</v>
      </c>
      <c r="H22" s="46">
        <v>2010</v>
      </c>
      <c r="I22" s="107" t="s">
        <v>1114</v>
      </c>
      <c r="J22" s="107" t="s">
        <v>1113</v>
      </c>
      <c r="K22" s="27"/>
      <c r="L22" s="43"/>
      <c r="M22" s="46"/>
      <c r="N22" s="43"/>
      <c r="O22" s="43"/>
      <c r="P22" s="43"/>
      <c r="Q22" s="43"/>
      <c r="S22" s="43"/>
    </row>
    <row r="23" spans="1:19" ht="30" x14ac:dyDescent="0.25">
      <c r="A23" s="46" t="s">
        <v>30</v>
      </c>
      <c r="B23" s="77" t="s">
        <v>1069</v>
      </c>
      <c r="C23" s="77" t="s">
        <v>1100</v>
      </c>
      <c r="D23" s="54" t="s">
        <v>1102</v>
      </c>
      <c r="E23" s="46">
        <v>135</v>
      </c>
      <c r="F23" s="115">
        <f t="shared" si="1"/>
        <v>2.556818181818182E-2</v>
      </c>
      <c r="G23" s="46">
        <v>2007</v>
      </c>
      <c r="H23" s="46"/>
      <c r="I23" s="107" t="s">
        <v>1115</v>
      </c>
      <c r="J23" s="107" t="s">
        <v>1116</v>
      </c>
      <c r="K23" s="27"/>
      <c r="L23" s="43"/>
      <c r="M23" s="46"/>
      <c r="N23" s="43"/>
      <c r="O23" s="43"/>
      <c r="P23" s="43"/>
      <c r="Q23" s="43"/>
      <c r="S23" s="43"/>
    </row>
    <row r="24" spans="1:19" ht="30" x14ac:dyDescent="0.25">
      <c r="A24" s="46" t="s">
        <v>30</v>
      </c>
      <c r="B24" s="77" t="s">
        <v>1069</v>
      </c>
      <c r="C24" s="77" t="s">
        <v>1100</v>
      </c>
      <c r="D24" s="54" t="s">
        <v>1103</v>
      </c>
      <c r="E24" s="46">
        <v>75</v>
      </c>
      <c r="F24" s="282">
        <f t="shared" si="1"/>
        <v>1.4204545454545454E-2</v>
      </c>
      <c r="G24" s="46">
        <v>2007</v>
      </c>
      <c r="H24" s="46"/>
      <c r="I24" s="107" t="s">
        <v>1117</v>
      </c>
      <c r="J24" s="107"/>
      <c r="K24" s="27"/>
      <c r="L24" s="43"/>
      <c r="M24" s="46"/>
      <c r="N24" s="43"/>
      <c r="O24" s="43"/>
      <c r="P24" s="43"/>
      <c r="Q24" s="43"/>
      <c r="S24" s="43"/>
    </row>
    <row r="25" spans="1:19" ht="30" x14ac:dyDescent="0.25">
      <c r="A25" s="46" t="s">
        <v>30</v>
      </c>
      <c r="B25" s="77" t="s">
        <v>1069</v>
      </c>
      <c r="C25" s="77" t="s">
        <v>1100</v>
      </c>
      <c r="D25" s="54" t="s">
        <v>1104</v>
      </c>
      <c r="E25" s="46">
        <v>50</v>
      </c>
      <c r="F25" s="282">
        <f t="shared" si="1"/>
        <v>9.46969696969697E-3</v>
      </c>
      <c r="G25" s="46">
        <v>2010</v>
      </c>
      <c r="H25" s="46"/>
      <c r="I25" s="107" t="s">
        <v>1119</v>
      </c>
      <c r="J25" s="107" t="s">
        <v>1118</v>
      </c>
      <c r="K25" s="27"/>
      <c r="L25" s="43"/>
      <c r="M25" s="46"/>
      <c r="N25" s="43"/>
      <c r="O25" s="43"/>
      <c r="P25" s="43"/>
      <c r="Q25" s="43"/>
      <c r="S25" s="43"/>
    </row>
    <row r="26" spans="1:19" ht="30" x14ac:dyDescent="0.25">
      <c r="A26" s="46" t="s">
        <v>30</v>
      </c>
      <c r="B26" s="77" t="s">
        <v>1069</v>
      </c>
      <c r="C26" s="77" t="s">
        <v>1100</v>
      </c>
      <c r="D26" s="54" t="s">
        <v>1105</v>
      </c>
      <c r="E26" s="46">
        <v>50</v>
      </c>
      <c r="F26" s="282">
        <f t="shared" si="1"/>
        <v>9.46969696969697E-3</v>
      </c>
      <c r="G26" s="46">
        <v>2010</v>
      </c>
      <c r="H26" s="46"/>
      <c r="I26" s="107" t="s">
        <v>1120</v>
      </c>
      <c r="J26" s="107" t="s">
        <v>1121</v>
      </c>
      <c r="K26" s="27"/>
      <c r="L26" s="43"/>
      <c r="M26" s="46"/>
      <c r="N26" s="43"/>
      <c r="O26" s="43"/>
      <c r="P26" s="43"/>
      <c r="Q26" s="43"/>
      <c r="S26" s="43"/>
    </row>
    <row r="27" spans="1:19" ht="30" x14ac:dyDescent="0.25">
      <c r="A27" s="46" t="s">
        <v>30</v>
      </c>
      <c r="B27" s="77" t="s">
        <v>1069</v>
      </c>
      <c r="C27" s="77" t="s">
        <v>1100</v>
      </c>
      <c r="D27" s="54" t="s">
        <v>1106</v>
      </c>
      <c r="E27" s="46">
        <v>50</v>
      </c>
      <c r="F27" s="282">
        <f>E27/5280</f>
        <v>9.46969696969697E-3</v>
      </c>
      <c r="G27" s="46">
        <v>2007</v>
      </c>
      <c r="H27" s="46"/>
      <c r="I27" s="107" t="s">
        <v>1129</v>
      </c>
      <c r="J27" s="107" t="s">
        <v>1130</v>
      </c>
      <c r="K27" s="27"/>
      <c r="L27" s="43"/>
      <c r="M27" s="46"/>
      <c r="N27" s="43"/>
      <c r="O27" s="43"/>
      <c r="P27" s="43"/>
      <c r="Q27" s="43"/>
      <c r="S27" s="43"/>
    </row>
    <row r="28" spans="1:19" ht="45" x14ac:dyDescent="0.25">
      <c r="A28" s="46" t="s">
        <v>30</v>
      </c>
      <c r="B28" s="77" t="s">
        <v>1069</v>
      </c>
      <c r="C28" s="77" t="s">
        <v>1100</v>
      </c>
      <c r="D28" s="54" t="s">
        <v>1122</v>
      </c>
      <c r="E28" s="46">
        <v>50</v>
      </c>
      <c r="F28" s="282">
        <f t="shared" si="1"/>
        <v>9.46969696969697E-3</v>
      </c>
      <c r="G28" s="46">
        <v>2013</v>
      </c>
      <c r="H28" s="46" t="s">
        <v>1124</v>
      </c>
      <c r="I28" s="107" t="s">
        <v>1126</v>
      </c>
      <c r="J28" s="107" t="s">
        <v>1125</v>
      </c>
      <c r="K28" s="27"/>
      <c r="L28" s="43"/>
      <c r="M28" s="46"/>
      <c r="N28" s="43"/>
      <c r="O28" s="43"/>
      <c r="P28" s="43"/>
      <c r="Q28" s="43"/>
      <c r="S28" s="43"/>
    </row>
    <row r="29" spans="1:19" ht="45" x14ac:dyDescent="0.25">
      <c r="A29" s="46" t="s">
        <v>30</v>
      </c>
      <c r="B29" s="77" t="s">
        <v>1069</v>
      </c>
      <c r="C29" s="77" t="s">
        <v>1100</v>
      </c>
      <c r="D29" s="54" t="s">
        <v>1123</v>
      </c>
      <c r="E29" s="46">
        <v>30</v>
      </c>
      <c r="F29" s="282">
        <f t="shared" si="1"/>
        <v>5.681818181818182E-3</v>
      </c>
      <c r="G29" s="46">
        <v>2013</v>
      </c>
      <c r="H29" s="46">
        <v>2015</v>
      </c>
      <c r="I29" s="107" t="s">
        <v>1128</v>
      </c>
      <c r="J29" s="107" t="s">
        <v>1127</v>
      </c>
      <c r="K29" s="27"/>
      <c r="L29" s="43"/>
      <c r="M29" s="46"/>
      <c r="N29" s="43"/>
      <c r="O29" s="43"/>
      <c r="P29" s="43"/>
      <c r="Q29" s="43"/>
      <c r="S29" s="43"/>
    </row>
    <row r="30" spans="1:19" ht="30" x14ac:dyDescent="0.25">
      <c r="A30" s="46" t="s">
        <v>30</v>
      </c>
      <c r="B30" s="77" t="s">
        <v>1069</v>
      </c>
      <c r="C30" s="77" t="s">
        <v>1100</v>
      </c>
      <c r="D30" s="54" t="s">
        <v>1107</v>
      </c>
      <c r="E30" s="46">
        <v>100</v>
      </c>
      <c r="F30" s="115">
        <f t="shared" si="1"/>
        <v>1.893939393939394E-2</v>
      </c>
      <c r="G30" s="46">
        <v>2009</v>
      </c>
      <c r="H30" s="46"/>
      <c r="I30" s="107" t="s">
        <v>1132</v>
      </c>
      <c r="J30" s="107" t="s">
        <v>1131</v>
      </c>
      <c r="K30" s="27"/>
      <c r="L30" s="43"/>
      <c r="M30" s="46"/>
      <c r="N30" s="43"/>
      <c r="O30" s="43"/>
      <c r="P30" s="43"/>
      <c r="Q30" s="43"/>
      <c r="S30" s="43"/>
    </row>
    <row r="31" spans="1:19" ht="60" x14ac:dyDescent="0.25">
      <c r="A31" s="46" t="s">
        <v>30</v>
      </c>
      <c r="B31" s="77" t="s">
        <v>1069</v>
      </c>
      <c r="C31" s="77" t="s">
        <v>1100</v>
      </c>
      <c r="D31" s="54" t="s">
        <v>1109</v>
      </c>
      <c r="E31" s="46">
        <v>1365</v>
      </c>
      <c r="F31" s="115">
        <f t="shared" si="1"/>
        <v>0.25852272727272729</v>
      </c>
      <c r="G31" s="46">
        <v>2003</v>
      </c>
      <c r="H31" s="46" t="s">
        <v>1134</v>
      </c>
      <c r="I31" s="107" t="s">
        <v>1135</v>
      </c>
      <c r="J31" s="107" t="s">
        <v>1133</v>
      </c>
      <c r="K31" s="27"/>
      <c r="L31" s="43"/>
      <c r="M31" s="46"/>
      <c r="N31" s="43"/>
      <c r="O31" s="43"/>
      <c r="P31" s="43"/>
      <c r="Q31" s="43"/>
      <c r="S31" s="43"/>
    </row>
    <row r="32" spans="1:19" ht="60" x14ac:dyDescent="0.25">
      <c r="A32" s="46" t="s">
        <v>30</v>
      </c>
      <c r="B32" s="77" t="s">
        <v>1069</v>
      </c>
      <c r="C32" s="77" t="s">
        <v>1100</v>
      </c>
      <c r="D32" s="54" t="s">
        <v>1108</v>
      </c>
      <c r="E32" s="46">
        <v>36</v>
      </c>
      <c r="F32" s="282">
        <f t="shared" si="1"/>
        <v>6.8181818181818179E-3</v>
      </c>
      <c r="G32" s="46">
        <v>2004</v>
      </c>
      <c r="H32" s="46" t="s">
        <v>1136</v>
      </c>
      <c r="I32" s="107" t="s">
        <v>1138</v>
      </c>
      <c r="J32" s="107" t="s">
        <v>1137</v>
      </c>
      <c r="K32" s="27"/>
      <c r="L32" s="43"/>
      <c r="M32" s="46"/>
      <c r="N32" s="43"/>
      <c r="O32" s="43"/>
      <c r="P32" s="43"/>
      <c r="Q32" s="43"/>
      <c r="S32" s="43"/>
    </row>
    <row r="33" spans="1:19" ht="30" x14ac:dyDescent="0.25">
      <c r="A33" s="46" t="s">
        <v>30</v>
      </c>
      <c r="B33" s="77" t="s">
        <v>1069</v>
      </c>
      <c r="C33" s="77" t="s">
        <v>1100</v>
      </c>
      <c r="D33" s="54" t="s">
        <v>1139</v>
      </c>
      <c r="E33" s="46">
        <v>160</v>
      </c>
      <c r="F33" s="115">
        <f t="shared" si="1"/>
        <v>3.0303030303030304E-2</v>
      </c>
      <c r="G33" s="46">
        <v>2013</v>
      </c>
      <c r="H33" s="46"/>
      <c r="I33" s="107" t="s">
        <v>1141</v>
      </c>
      <c r="J33" s="107" t="s">
        <v>1140</v>
      </c>
      <c r="K33" s="27"/>
      <c r="L33" s="43"/>
      <c r="M33" s="46"/>
      <c r="N33" s="43"/>
      <c r="O33" s="43"/>
      <c r="P33" s="43"/>
      <c r="Q33" s="43"/>
      <c r="S33" s="43"/>
    </row>
    <row r="34" spans="1:19" ht="30" x14ac:dyDescent="0.25">
      <c r="A34" s="46" t="s">
        <v>30</v>
      </c>
      <c r="B34" s="77" t="s">
        <v>1069</v>
      </c>
      <c r="C34" s="77" t="s">
        <v>1100</v>
      </c>
      <c r="D34" s="54" t="s">
        <v>1142</v>
      </c>
      <c r="E34" s="46">
        <v>215</v>
      </c>
      <c r="F34" s="115">
        <f t="shared" si="1"/>
        <v>4.0719696969696968E-2</v>
      </c>
      <c r="G34" s="46">
        <v>2013</v>
      </c>
      <c r="H34" s="46"/>
      <c r="I34" s="107" t="s">
        <v>1144</v>
      </c>
      <c r="J34" s="107" t="s">
        <v>1143</v>
      </c>
      <c r="K34" s="27"/>
      <c r="L34" s="43"/>
      <c r="M34" s="46"/>
      <c r="N34" s="43"/>
      <c r="O34" s="43"/>
      <c r="P34" s="43"/>
      <c r="Q34" s="43"/>
      <c r="S34" s="43"/>
    </row>
    <row r="35" spans="1:19" ht="60" x14ac:dyDescent="0.25">
      <c r="A35" s="46" t="s">
        <v>30</v>
      </c>
      <c r="B35" s="77" t="s">
        <v>1069</v>
      </c>
      <c r="C35" s="77" t="s">
        <v>1100</v>
      </c>
      <c r="D35" s="54" t="s">
        <v>1110</v>
      </c>
      <c r="E35" s="46">
        <v>150</v>
      </c>
      <c r="F35" s="115">
        <f t="shared" si="1"/>
        <v>2.8409090909090908E-2</v>
      </c>
      <c r="G35" s="46">
        <v>2007</v>
      </c>
      <c r="H35" s="46">
        <v>2009</v>
      </c>
      <c r="I35" s="107" t="s">
        <v>1146</v>
      </c>
      <c r="J35" s="107" t="s">
        <v>1145</v>
      </c>
      <c r="K35" s="27"/>
      <c r="L35" s="43"/>
      <c r="M35" s="46"/>
      <c r="N35" s="43"/>
      <c r="O35" s="43"/>
      <c r="P35" s="43"/>
      <c r="Q35" s="43"/>
      <c r="S35" s="43"/>
    </row>
    <row r="36" spans="1:19" ht="30" x14ac:dyDescent="0.25">
      <c r="A36" s="46" t="s">
        <v>30</v>
      </c>
      <c r="B36" s="77" t="s">
        <v>1069</v>
      </c>
      <c r="C36" s="77" t="s">
        <v>1100</v>
      </c>
      <c r="D36" s="54" t="s">
        <v>1147</v>
      </c>
      <c r="E36" s="46">
        <v>41</v>
      </c>
      <c r="F36" s="282">
        <f t="shared" si="1"/>
        <v>7.7651515151515148E-3</v>
      </c>
      <c r="G36" s="46">
        <v>2007</v>
      </c>
      <c r="H36" s="46"/>
      <c r="I36" s="107" t="s">
        <v>1155</v>
      </c>
      <c r="J36" s="107" t="s">
        <v>1154</v>
      </c>
      <c r="K36" s="27"/>
      <c r="L36" s="43"/>
      <c r="M36" s="46"/>
      <c r="N36" s="43"/>
      <c r="O36" s="43"/>
      <c r="P36" s="43"/>
      <c r="Q36" s="43"/>
      <c r="S36" s="43"/>
    </row>
    <row r="37" spans="1:19" ht="45" x14ac:dyDescent="0.25">
      <c r="A37" s="46" t="s">
        <v>30</v>
      </c>
      <c r="B37" s="77" t="s">
        <v>1069</v>
      </c>
      <c r="C37" s="77" t="s">
        <v>1100</v>
      </c>
      <c r="D37" s="54" t="s">
        <v>1148</v>
      </c>
      <c r="E37" s="46">
        <v>60</v>
      </c>
      <c r="F37" s="282">
        <f t="shared" si="1"/>
        <v>1.1363636363636364E-2</v>
      </c>
      <c r="G37" s="46">
        <v>2003</v>
      </c>
      <c r="H37" s="46">
        <v>2006</v>
      </c>
      <c r="I37" s="107" t="s">
        <v>1157</v>
      </c>
      <c r="J37" s="107" t="s">
        <v>1156</v>
      </c>
      <c r="K37" s="27"/>
      <c r="L37" s="43"/>
      <c r="M37" s="46"/>
      <c r="N37" s="43"/>
      <c r="O37" s="43"/>
      <c r="P37" s="43"/>
      <c r="Q37" s="43"/>
      <c r="S37" s="43"/>
    </row>
    <row r="38" spans="1:19" ht="30" x14ac:dyDescent="0.25">
      <c r="A38" s="46" t="s">
        <v>30</v>
      </c>
      <c r="B38" s="77" t="s">
        <v>1069</v>
      </c>
      <c r="C38" s="77" t="s">
        <v>1100</v>
      </c>
      <c r="D38" s="54" t="s">
        <v>1149</v>
      </c>
      <c r="E38" s="46">
        <v>45</v>
      </c>
      <c r="F38" s="282">
        <f t="shared" si="1"/>
        <v>8.5227272727272721E-3</v>
      </c>
      <c r="G38" s="46">
        <v>2006</v>
      </c>
      <c r="H38" s="46"/>
      <c r="I38" s="107" t="s">
        <v>1159</v>
      </c>
      <c r="J38" s="107" t="s">
        <v>1158</v>
      </c>
      <c r="K38" s="27"/>
      <c r="L38" s="43"/>
      <c r="M38" s="46"/>
      <c r="N38" s="43"/>
      <c r="O38" s="43"/>
      <c r="P38" s="43"/>
      <c r="Q38" s="43"/>
      <c r="S38" s="43"/>
    </row>
    <row r="39" spans="1:19" ht="45" x14ac:dyDescent="0.25">
      <c r="A39" s="46" t="s">
        <v>30</v>
      </c>
      <c r="B39" s="77" t="s">
        <v>1069</v>
      </c>
      <c r="C39" s="77" t="s">
        <v>1100</v>
      </c>
      <c r="D39" s="54" t="s">
        <v>1150</v>
      </c>
      <c r="E39" s="46">
        <v>55</v>
      </c>
      <c r="F39" s="282">
        <f t="shared" si="1"/>
        <v>1.0416666666666666E-2</v>
      </c>
      <c r="G39" s="46">
        <v>2006</v>
      </c>
      <c r="H39" s="46">
        <v>2007</v>
      </c>
      <c r="I39" s="107" t="s">
        <v>1161</v>
      </c>
      <c r="J39" s="107" t="s">
        <v>1160</v>
      </c>
      <c r="K39" s="27"/>
      <c r="L39" s="43"/>
      <c r="M39" s="46"/>
      <c r="N39" s="43"/>
      <c r="O39" s="43"/>
      <c r="P39" s="43"/>
      <c r="Q39" s="43"/>
      <c r="S39" s="43"/>
    </row>
    <row r="40" spans="1:19" ht="45" x14ac:dyDescent="0.25">
      <c r="A40" s="46" t="s">
        <v>30</v>
      </c>
      <c r="B40" s="77" t="s">
        <v>1069</v>
      </c>
      <c r="C40" s="77" t="s">
        <v>1100</v>
      </c>
      <c r="D40" s="54" t="s">
        <v>1151</v>
      </c>
      <c r="E40" s="46">
        <v>50</v>
      </c>
      <c r="F40" s="282">
        <f t="shared" si="1"/>
        <v>9.46969696969697E-3</v>
      </c>
      <c r="G40" s="46">
        <v>2006</v>
      </c>
      <c r="H40" s="46">
        <v>2009</v>
      </c>
      <c r="I40" s="107" t="s">
        <v>1163</v>
      </c>
      <c r="J40" s="107" t="s">
        <v>1162</v>
      </c>
      <c r="K40" s="27"/>
      <c r="L40" s="43"/>
      <c r="M40" s="46"/>
      <c r="N40" s="43"/>
      <c r="O40" s="43"/>
      <c r="P40" s="43"/>
      <c r="Q40" s="43"/>
      <c r="S40" s="43"/>
    </row>
    <row r="41" spans="1:19" ht="45" x14ac:dyDescent="0.25">
      <c r="A41" s="46" t="s">
        <v>30</v>
      </c>
      <c r="B41" s="77" t="s">
        <v>1069</v>
      </c>
      <c r="C41" s="77" t="s">
        <v>1100</v>
      </c>
      <c r="D41" s="54" t="s">
        <v>1152</v>
      </c>
      <c r="E41" s="46">
        <v>835</v>
      </c>
      <c r="F41" s="115">
        <f t="shared" si="1"/>
        <v>0.15814393939393939</v>
      </c>
      <c r="G41" s="46">
        <v>2007</v>
      </c>
      <c r="H41" s="46">
        <v>2011</v>
      </c>
      <c r="I41" s="107" t="s">
        <v>1165</v>
      </c>
      <c r="J41" s="107" t="s">
        <v>1164</v>
      </c>
      <c r="K41" s="27"/>
      <c r="L41" s="43"/>
      <c r="M41" s="46"/>
      <c r="N41" s="43"/>
      <c r="O41" s="43"/>
      <c r="P41" s="43"/>
      <c r="Q41" s="43"/>
      <c r="S41" s="43"/>
    </row>
    <row r="42" spans="1:19" ht="30" x14ac:dyDescent="0.25">
      <c r="A42" s="46" t="s">
        <v>30</v>
      </c>
      <c r="B42" s="77" t="s">
        <v>1069</v>
      </c>
      <c r="C42" s="77" t="s">
        <v>1100</v>
      </c>
      <c r="D42" s="54" t="s">
        <v>1153</v>
      </c>
      <c r="E42" s="46">
        <v>80</v>
      </c>
      <c r="F42" s="282">
        <f t="shared" si="1"/>
        <v>1.5151515151515152E-2</v>
      </c>
      <c r="G42" s="46">
        <v>2007</v>
      </c>
      <c r="H42" s="46"/>
      <c r="I42" s="107" t="s">
        <v>1175</v>
      </c>
      <c r="J42" s="107" t="s">
        <v>1174</v>
      </c>
      <c r="K42" s="27"/>
      <c r="L42" s="43"/>
      <c r="M42" s="46"/>
      <c r="N42" s="43"/>
      <c r="O42" s="43"/>
      <c r="P42" s="43"/>
      <c r="Q42" s="43"/>
      <c r="S42" s="43"/>
    </row>
    <row r="43" spans="1:19" ht="30" x14ac:dyDescent="0.25">
      <c r="A43" s="46" t="s">
        <v>30</v>
      </c>
      <c r="B43" s="77" t="s">
        <v>1069</v>
      </c>
      <c r="C43" s="77" t="s">
        <v>1100</v>
      </c>
      <c r="D43" s="54" t="s">
        <v>1166</v>
      </c>
      <c r="E43" s="46">
        <v>105</v>
      </c>
      <c r="F43" s="115">
        <f t="shared" si="1"/>
        <v>1.9886363636363636E-2</v>
      </c>
      <c r="G43" s="46">
        <v>2007</v>
      </c>
      <c r="H43" s="46"/>
      <c r="I43" s="107" t="s">
        <v>1177</v>
      </c>
      <c r="J43" s="107" t="s">
        <v>1176</v>
      </c>
      <c r="K43" s="27"/>
      <c r="L43" s="43"/>
      <c r="M43" s="46"/>
      <c r="N43" s="43"/>
      <c r="O43" s="43"/>
      <c r="P43" s="43"/>
      <c r="Q43" s="43"/>
      <c r="S43" s="43"/>
    </row>
    <row r="44" spans="1:19" ht="45" x14ac:dyDescent="0.25">
      <c r="A44" s="46" t="s">
        <v>30</v>
      </c>
      <c r="B44" s="77" t="s">
        <v>1069</v>
      </c>
      <c r="C44" s="77" t="s">
        <v>1100</v>
      </c>
      <c r="D44" s="54" t="s">
        <v>1167</v>
      </c>
      <c r="E44" s="46">
        <v>100</v>
      </c>
      <c r="F44" s="115">
        <f t="shared" si="1"/>
        <v>1.893939393939394E-2</v>
      </c>
      <c r="G44" s="46">
        <v>2007</v>
      </c>
      <c r="H44" s="46"/>
      <c r="I44" s="107" t="s">
        <v>1179</v>
      </c>
      <c r="J44" s="107" t="s">
        <v>1178</v>
      </c>
      <c r="K44" s="27"/>
      <c r="L44" s="43"/>
      <c r="M44" s="46"/>
      <c r="N44" s="43"/>
      <c r="O44" s="43"/>
      <c r="P44" s="43"/>
      <c r="Q44" s="43"/>
      <c r="S44" s="43"/>
    </row>
    <row r="45" spans="1:19" ht="30" x14ac:dyDescent="0.25">
      <c r="A45" s="46" t="s">
        <v>30</v>
      </c>
      <c r="B45" s="77" t="s">
        <v>1069</v>
      </c>
      <c r="C45" s="77" t="s">
        <v>1100</v>
      </c>
      <c r="D45" s="54" t="s">
        <v>1168</v>
      </c>
      <c r="E45" s="46">
        <v>100</v>
      </c>
      <c r="F45" s="115">
        <f t="shared" si="1"/>
        <v>1.893939393939394E-2</v>
      </c>
      <c r="G45" s="46">
        <v>2007</v>
      </c>
      <c r="H45" s="46"/>
      <c r="I45" s="107" t="s">
        <v>1181</v>
      </c>
      <c r="J45" s="107" t="s">
        <v>1180</v>
      </c>
      <c r="K45" s="27"/>
      <c r="L45" s="43"/>
      <c r="M45" s="46"/>
      <c r="N45" s="43"/>
      <c r="O45" s="43"/>
      <c r="P45" s="43"/>
      <c r="Q45" s="43"/>
      <c r="S45" s="43"/>
    </row>
    <row r="46" spans="1:19" ht="45" x14ac:dyDescent="0.25">
      <c r="A46" s="46" t="s">
        <v>30</v>
      </c>
      <c r="B46" s="77" t="s">
        <v>1069</v>
      </c>
      <c r="C46" s="77" t="s">
        <v>1100</v>
      </c>
      <c r="D46" s="54" t="s">
        <v>1169</v>
      </c>
      <c r="E46" s="46">
        <v>56</v>
      </c>
      <c r="F46" s="282">
        <f t="shared" si="1"/>
        <v>1.0606060606060607E-2</v>
      </c>
      <c r="G46" s="46">
        <v>2007</v>
      </c>
      <c r="H46" s="46">
        <v>2011</v>
      </c>
      <c r="I46" s="107" t="s">
        <v>1183</v>
      </c>
      <c r="J46" s="107" t="s">
        <v>1182</v>
      </c>
      <c r="K46" s="27"/>
      <c r="L46" s="43"/>
      <c r="M46" s="46"/>
      <c r="N46" s="43"/>
      <c r="O46" s="43"/>
      <c r="P46" s="43"/>
      <c r="Q46" s="43"/>
      <c r="S46" s="43"/>
    </row>
    <row r="47" spans="1:19" ht="60" x14ac:dyDescent="0.25">
      <c r="A47" s="46" t="s">
        <v>30</v>
      </c>
      <c r="B47" s="77" t="s">
        <v>1069</v>
      </c>
      <c r="C47" s="77" t="s">
        <v>1100</v>
      </c>
      <c r="D47" s="54" t="s">
        <v>1170</v>
      </c>
      <c r="E47" s="46">
        <v>105</v>
      </c>
      <c r="F47" s="115">
        <f t="shared" si="1"/>
        <v>1.9886363636363636E-2</v>
      </c>
      <c r="G47" s="46">
        <v>2007</v>
      </c>
      <c r="H47" s="46">
        <v>2011</v>
      </c>
      <c r="I47" s="107" t="s">
        <v>1185</v>
      </c>
      <c r="J47" s="107" t="s">
        <v>1184</v>
      </c>
      <c r="K47" s="27"/>
      <c r="L47" s="43"/>
      <c r="M47" s="46"/>
      <c r="N47" s="43"/>
      <c r="O47" s="43"/>
      <c r="P47" s="43"/>
      <c r="Q47" s="43"/>
      <c r="S47" s="43"/>
    </row>
    <row r="48" spans="1:19" ht="30" x14ac:dyDescent="0.25">
      <c r="A48" s="46" t="s">
        <v>30</v>
      </c>
      <c r="B48" s="77" t="s">
        <v>1069</v>
      </c>
      <c r="C48" s="77" t="s">
        <v>1100</v>
      </c>
      <c r="D48" s="54" t="s">
        <v>1171</v>
      </c>
      <c r="E48" s="46">
        <v>86</v>
      </c>
      <c r="F48" s="115">
        <f t="shared" si="1"/>
        <v>1.6287878787878789E-2</v>
      </c>
      <c r="G48" s="46">
        <v>2007</v>
      </c>
      <c r="H48" s="46"/>
      <c r="I48" s="107" t="s">
        <v>1187</v>
      </c>
      <c r="J48" s="107" t="s">
        <v>1186</v>
      </c>
      <c r="K48" s="27"/>
      <c r="L48" s="43"/>
      <c r="M48" s="46"/>
      <c r="N48" s="43"/>
      <c r="O48" s="43"/>
      <c r="P48" s="43"/>
      <c r="Q48" s="43"/>
      <c r="S48" s="43"/>
    </row>
    <row r="49" spans="1:22" ht="60" x14ac:dyDescent="0.25">
      <c r="A49" s="46" t="s">
        <v>30</v>
      </c>
      <c r="B49" s="77" t="s">
        <v>1069</v>
      </c>
      <c r="C49" s="77" t="s">
        <v>1100</v>
      </c>
      <c r="D49" s="54" t="s">
        <v>1172</v>
      </c>
      <c r="E49" s="46">
        <v>65</v>
      </c>
      <c r="F49" s="282">
        <f t="shared" si="1"/>
        <v>1.231060606060606E-2</v>
      </c>
      <c r="G49" s="46">
        <v>2007</v>
      </c>
      <c r="H49" s="46">
        <v>2011</v>
      </c>
      <c r="I49" s="107" t="s">
        <v>1189</v>
      </c>
      <c r="J49" s="107" t="s">
        <v>1188</v>
      </c>
      <c r="K49" s="27"/>
      <c r="L49" s="43"/>
      <c r="M49" s="46"/>
      <c r="N49" s="43"/>
      <c r="O49" s="43"/>
      <c r="P49" s="43"/>
      <c r="Q49" s="43"/>
      <c r="S49" s="43"/>
    </row>
    <row r="50" spans="1:22" ht="30" x14ac:dyDescent="0.25">
      <c r="A50" s="46" t="s">
        <v>30</v>
      </c>
      <c r="B50" s="77" t="s">
        <v>1069</v>
      </c>
      <c r="C50" s="77" t="s">
        <v>1100</v>
      </c>
      <c r="D50" s="54" t="s">
        <v>1173</v>
      </c>
      <c r="E50" s="46">
        <v>40</v>
      </c>
      <c r="F50" s="282">
        <f t="shared" si="1"/>
        <v>7.575757575757576E-3</v>
      </c>
      <c r="G50" s="46">
        <v>2007</v>
      </c>
      <c r="H50" s="46"/>
      <c r="I50" s="107" t="s">
        <v>1191</v>
      </c>
      <c r="J50" s="107" t="s">
        <v>1190</v>
      </c>
      <c r="K50" s="27"/>
      <c r="L50" s="43"/>
      <c r="M50" s="46"/>
      <c r="N50" s="43"/>
      <c r="O50" s="43"/>
      <c r="P50" s="43"/>
      <c r="Q50" s="43"/>
      <c r="S50" s="43"/>
    </row>
    <row r="51" spans="1:22" ht="45" x14ac:dyDescent="0.25">
      <c r="A51" s="46" t="s">
        <v>30</v>
      </c>
      <c r="B51" s="77" t="s">
        <v>1069</v>
      </c>
      <c r="C51" s="77" t="s">
        <v>1100</v>
      </c>
      <c r="D51" s="54" t="s">
        <v>1192</v>
      </c>
      <c r="E51" s="46">
        <v>56</v>
      </c>
      <c r="F51" s="282">
        <f t="shared" si="1"/>
        <v>1.0606060606060607E-2</v>
      </c>
      <c r="G51" s="46">
        <v>2007</v>
      </c>
      <c r="H51" s="46">
        <v>2011</v>
      </c>
      <c r="I51" s="107" t="s">
        <v>1198</v>
      </c>
      <c r="J51" s="107" t="s">
        <v>1197</v>
      </c>
      <c r="K51" s="27"/>
      <c r="L51" s="43"/>
      <c r="M51" s="46"/>
      <c r="N51" s="43"/>
      <c r="O51" s="43"/>
      <c r="P51" s="43"/>
      <c r="Q51" s="43"/>
      <c r="S51" s="43"/>
    </row>
    <row r="52" spans="1:22" ht="30" x14ac:dyDescent="0.25">
      <c r="A52" s="46" t="s">
        <v>30</v>
      </c>
      <c r="B52" s="77" t="s">
        <v>1069</v>
      </c>
      <c r="C52" s="77" t="s">
        <v>1100</v>
      </c>
      <c r="D52" s="54" t="s">
        <v>1193</v>
      </c>
      <c r="E52" s="46">
        <v>50</v>
      </c>
      <c r="F52" s="282">
        <f t="shared" si="1"/>
        <v>9.46969696969697E-3</v>
      </c>
      <c r="G52" s="46">
        <v>2007</v>
      </c>
      <c r="H52" s="46"/>
      <c r="I52" s="107" t="s">
        <v>1200</v>
      </c>
      <c r="J52" s="107" t="s">
        <v>1199</v>
      </c>
      <c r="K52" s="27"/>
      <c r="L52" s="43"/>
      <c r="M52" s="46"/>
      <c r="N52" s="43"/>
      <c r="O52" s="43"/>
      <c r="P52" s="43"/>
      <c r="Q52" s="43"/>
      <c r="S52" s="43"/>
    </row>
    <row r="53" spans="1:22" ht="45" x14ac:dyDescent="0.25">
      <c r="A53" s="46" t="s">
        <v>30</v>
      </c>
      <c r="B53" s="77" t="s">
        <v>1069</v>
      </c>
      <c r="C53" s="77" t="s">
        <v>1100</v>
      </c>
      <c r="D53" s="54" t="s">
        <v>1194</v>
      </c>
      <c r="E53" s="46">
        <v>70</v>
      </c>
      <c r="F53" s="282">
        <f t="shared" si="1"/>
        <v>1.3257575757575758E-2</v>
      </c>
      <c r="G53" s="46">
        <v>2007</v>
      </c>
      <c r="H53" s="46"/>
      <c r="I53" s="107" t="s">
        <v>1202</v>
      </c>
      <c r="J53" s="107" t="s">
        <v>1201</v>
      </c>
      <c r="K53" s="27"/>
      <c r="L53" s="43"/>
      <c r="M53" s="46"/>
      <c r="N53" s="43"/>
      <c r="O53" s="43"/>
      <c r="P53" s="43"/>
      <c r="Q53" s="43"/>
      <c r="S53" s="43"/>
    </row>
    <row r="54" spans="1:22" ht="30" x14ac:dyDescent="0.25">
      <c r="A54" s="46" t="s">
        <v>30</v>
      </c>
      <c r="B54" s="77" t="s">
        <v>1069</v>
      </c>
      <c r="C54" s="77" t="s">
        <v>1100</v>
      </c>
      <c r="D54" s="54" t="s">
        <v>1195</v>
      </c>
      <c r="E54" s="46">
        <v>130</v>
      </c>
      <c r="F54" s="115">
        <f t="shared" si="1"/>
        <v>2.462121212121212E-2</v>
      </c>
      <c r="G54" s="46">
        <v>2007</v>
      </c>
      <c r="H54" s="46"/>
      <c r="I54" s="107" t="s">
        <v>1204</v>
      </c>
      <c r="J54" s="107" t="s">
        <v>1203</v>
      </c>
      <c r="K54" s="27"/>
      <c r="L54" s="43"/>
      <c r="M54" s="46"/>
      <c r="N54" s="43"/>
      <c r="O54" s="43"/>
      <c r="P54" s="43"/>
      <c r="Q54" s="43"/>
      <c r="S54" s="43"/>
    </row>
    <row r="55" spans="1:22" ht="90" x14ac:dyDescent="0.25">
      <c r="A55" s="46" t="s">
        <v>30</v>
      </c>
      <c r="B55" s="77" t="s">
        <v>1069</v>
      </c>
      <c r="C55" s="42" t="s">
        <v>1039</v>
      </c>
      <c r="D55" s="54" t="s">
        <v>1205</v>
      </c>
      <c r="E55" s="46" t="s">
        <v>249</v>
      </c>
      <c r="F55" s="46" t="s">
        <v>249</v>
      </c>
      <c r="G55" s="46" t="s">
        <v>214</v>
      </c>
      <c r="H55" s="46" t="s">
        <v>215</v>
      </c>
      <c r="I55" s="54" t="s">
        <v>212</v>
      </c>
      <c r="J55" s="54" t="s">
        <v>1206</v>
      </c>
      <c r="K55" s="27"/>
      <c r="L55" s="43"/>
      <c r="M55" s="46"/>
      <c r="N55" s="43"/>
      <c r="O55" s="43"/>
      <c r="P55" s="43"/>
      <c r="Q55" s="43"/>
      <c r="S55" s="43"/>
      <c r="V55" s="43"/>
    </row>
    <row r="56" spans="1:22" ht="30" x14ac:dyDescent="0.25">
      <c r="A56" s="46" t="s">
        <v>30</v>
      </c>
      <c r="B56" s="77" t="s">
        <v>1069</v>
      </c>
      <c r="C56" s="77" t="s">
        <v>1039</v>
      </c>
      <c r="D56" s="54" t="s">
        <v>1196</v>
      </c>
      <c r="E56" s="46">
        <v>190</v>
      </c>
      <c r="F56" s="115">
        <f t="shared" si="1"/>
        <v>3.5984848484848488E-2</v>
      </c>
      <c r="G56" s="46">
        <v>2000</v>
      </c>
      <c r="H56" s="46"/>
      <c r="I56" s="107" t="s">
        <v>1207</v>
      </c>
      <c r="J56" s="107" t="s">
        <v>1208</v>
      </c>
      <c r="K56" s="27"/>
      <c r="L56" s="43"/>
      <c r="M56" s="46"/>
      <c r="N56" s="43"/>
      <c r="O56" s="43"/>
      <c r="P56" s="43"/>
      <c r="Q56" s="43"/>
      <c r="S56" s="43"/>
    </row>
    <row r="57" spans="1:22" ht="75" x14ac:dyDescent="0.25">
      <c r="A57" s="46" t="s">
        <v>30</v>
      </c>
      <c r="B57" s="77" t="s">
        <v>1069</v>
      </c>
      <c r="C57" s="51" t="s">
        <v>1039</v>
      </c>
      <c r="D57" s="54" t="s">
        <v>1210</v>
      </c>
      <c r="E57" s="46" t="s">
        <v>249</v>
      </c>
      <c r="F57" s="46" t="s">
        <v>249</v>
      </c>
      <c r="G57" s="46" t="s">
        <v>214</v>
      </c>
      <c r="H57" s="46">
        <v>2006</v>
      </c>
      <c r="I57" s="54" t="s">
        <v>213</v>
      </c>
      <c r="J57" s="54" t="s">
        <v>1211</v>
      </c>
      <c r="K57" s="27"/>
      <c r="L57" s="43"/>
      <c r="M57" s="46"/>
      <c r="N57" s="43"/>
      <c r="O57" s="43"/>
      <c r="P57" s="43"/>
      <c r="Q57" s="43"/>
      <c r="S57" s="43"/>
    </row>
    <row r="58" spans="1:22" ht="105" x14ac:dyDescent="0.25">
      <c r="A58" s="46" t="s">
        <v>30</v>
      </c>
      <c r="B58" s="77" t="s">
        <v>1069</v>
      </c>
      <c r="C58" s="51" t="s">
        <v>1209</v>
      </c>
      <c r="D58" s="43" t="s">
        <v>1212</v>
      </c>
      <c r="E58" s="46">
        <v>550</v>
      </c>
      <c r="F58" s="115">
        <f t="shared" si="1"/>
        <v>0.10416666666666667</v>
      </c>
      <c r="G58" s="46">
        <v>2005</v>
      </c>
      <c r="H58" s="46" t="s">
        <v>1213</v>
      </c>
      <c r="I58" s="54" t="s">
        <v>1215</v>
      </c>
      <c r="J58" s="54" t="s">
        <v>1214</v>
      </c>
      <c r="K58" s="27"/>
      <c r="L58" s="43"/>
      <c r="M58" s="46"/>
      <c r="N58" s="43"/>
      <c r="O58" s="43"/>
      <c r="P58" s="43"/>
      <c r="Q58" s="43"/>
      <c r="S58" s="43"/>
    </row>
    <row r="59" spans="1:22" s="279" customFormat="1" ht="45" x14ac:dyDescent="0.25">
      <c r="A59" s="284" t="s">
        <v>30</v>
      </c>
      <c r="B59" s="236" t="s">
        <v>1069</v>
      </c>
      <c r="C59" s="285" t="s">
        <v>1209</v>
      </c>
      <c r="D59" s="283" t="s">
        <v>1216</v>
      </c>
      <c r="E59" s="284">
        <v>420</v>
      </c>
      <c r="F59" s="240" t="s">
        <v>853</v>
      </c>
      <c r="G59" s="284" t="s">
        <v>154</v>
      </c>
      <c r="H59" s="284">
        <v>2016</v>
      </c>
      <c r="I59" s="144" t="s">
        <v>1218</v>
      </c>
      <c r="J59" s="144" t="s">
        <v>1219</v>
      </c>
      <c r="K59" s="248"/>
      <c r="L59" s="283"/>
      <c r="M59" s="284"/>
      <c r="N59" s="283"/>
      <c r="O59" s="283"/>
      <c r="P59" s="283"/>
      <c r="Q59" s="283"/>
      <c r="S59" s="283"/>
    </row>
    <row r="60" spans="1:22" ht="75" x14ac:dyDescent="0.25">
      <c r="A60" s="46" t="s">
        <v>30</v>
      </c>
      <c r="B60" s="77" t="s">
        <v>1069</v>
      </c>
      <c r="C60" s="51" t="s">
        <v>1209</v>
      </c>
      <c r="D60" s="43" t="s">
        <v>1216</v>
      </c>
      <c r="E60" s="46">
        <v>420</v>
      </c>
      <c r="F60" s="115">
        <f t="shared" si="1"/>
        <v>7.9545454545454544E-2</v>
      </c>
      <c r="G60" s="46">
        <v>2000</v>
      </c>
      <c r="H60" s="46" t="s">
        <v>1217</v>
      </c>
      <c r="I60" s="107" t="s">
        <v>1221</v>
      </c>
      <c r="J60" s="54" t="s">
        <v>1220</v>
      </c>
      <c r="K60" s="27"/>
      <c r="L60" s="43"/>
      <c r="M60" s="46"/>
      <c r="N60" s="43"/>
      <c r="O60" s="43"/>
      <c r="P60" s="43"/>
      <c r="Q60" s="43"/>
      <c r="S60" s="43"/>
    </row>
    <row r="61" spans="1:22" ht="75" x14ac:dyDescent="0.25">
      <c r="A61" s="46" t="s">
        <v>30</v>
      </c>
      <c r="B61" s="77" t="s">
        <v>1069</v>
      </c>
      <c r="C61" s="51" t="s">
        <v>1209</v>
      </c>
      <c r="D61" s="43" t="s">
        <v>1222</v>
      </c>
      <c r="E61" s="46">
        <v>400</v>
      </c>
      <c r="F61" s="115">
        <f t="shared" si="1"/>
        <v>7.575757575757576E-2</v>
      </c>
      <c r="G61" s="46">
        <v>2000</v>
      </c>
      <c r="H61" s="46" t="s">
        <v>1223</v>
      </c>
      <c r="I61" s="54" t="s">
        <v>1225</v>
      </c>
      <c r="J61" s="54" t="s">
        <v>1224</v>
      </c>
      <c r="K61" s="27"/>
      <c r="L61" s="43"/>
      <c r="M61" s="46"/>
      <c r="N61" s="43"/>
      <c r="O61" s="43"/>
      <c r="P61" s="43"/>
      <c r="Q61" s="43"/>
      <c r="S61" s="43"/>
    </row>
    <row r="62" spans="1:22" ht="30" x14ac:dyDescent="0.25">
      <c r="A62" s="46" t="s">
        <v>30</v>
      </c>
      <c r="B62" s="77" t="s">
        <v>1069</v>
      </c>
      <c r="C62" s="51" t="s">
        <v>1209</v>
      </c>
      <c r="D62" s="43" t="s">
        <v>1227</v>
      </c>
      <c r="E62" s="46">
        <v>50</v>
      </c>
      <c r="F62" s="282">
        <f t="shared" si="1"/>
        <v>9.46969696969697E-3</v>
      </c>
      <c r="G62" s="46">
        <v>2007</v>
      </c>
      <c r="H62" s="46"/>
      <c r="I62" s="107" t="s">
        <v>1243</v>
      </c>
      <c r="J62" s="107" t="s">
        <v>1116</v>
      </c>
      <c r="K62" s="27"/>
      <c r="L62" s="43"/>
      <c r="M62" s="46"/>
      <c r="N62" s="43"/>
      <c r="O62" s="43"/>
      <c r="P62" s="43"/>
      <c r="Q62" s="43"/>
      <c r="S62" s="43"/>
    </row>
    <row r="63" spans="1:22" ht="30" x14ac:dyDescent="0.25">
      <c r="A63" s="46" t="s">
        <v>30</v>
      </c>
      <c r="B63" s="77" t="s">
        <v>1069</v>
      </c>
      <c r="C63" s="51" t="s">
        <v>1209</v>
      </c>
      <c r="D63" s="43" t="s">
        <v>1226</v>
      </c>
      <c r="E63" s="46">
        <v>50</v>
      </c>
      <c r="F63" s="282">
        <f t="shared" si="1"/>
        <v>9.46969696969697E-3</v>
      </c>
      <c r="G63" s="46">
        <v>2007</v>
      </c>
      <c r="H63" s="46"/>
      <c r="I63" s="107" t="s">
        <v>1244</v>
      </c>
      <c r="J63" s="107" t="s">
        <v>1199</v>
      </c>
      <c r="K63" s="27"/>
      <c r="L63" s="43"/>
      <c r="M63" s="46"/>
      <c r="N63" s="43"/>
      <c r="O63" s="43"/>
      <c r="P63" s="43"/>
      <c r="Q63" s="43"/>
      <c r="S63" s="43"/>
    </row>
    <row r="64" spans="1:22" ht="30" x14ac:dyDescent="0.25">
      <c r="A64" s="46" t="s">
        <v>30</v>
      </c>
      <c r="B64" s="77" t="s">
        <v>1069</v>
      </c>
      <c r="C64" s="51" t="s">
        <v>1209</v>
      </c>
      <c r="D64" s="43" t="s">
        <v>1228</v>
      </c>
      <c r="E64" s="46">
        <v>50</v>
      </c>
      <c r="F64" s="282">
        <f t="shared" si="1"/>
        <v>9.46969696969697E-3</v>
      </c>
      <c r="G64" s="46">
        <v>2011</v>
      </c>
      <c r="H64" s="46"/>
      <c r="I64" s="107" t="s">
        <v>1246</v>
      </c>
      <c r="J64" s="107" t="s">
        <v>1245</v>
      </c>
      <c r="K64" s="27"/>
      <c r="L64" s="43"/>
      <c r="M64" s="46"/>
      <c r="N64" s="43"/>
      <c r="O64" s="43"/>
      <c r="P64" s="43"/>
      <c r="Q64" s="43"/>
      <c r="S64" s="43"/>
    </row>
    <row r="65" spans="1:19" ht="30" x14ac:dyDescent="0.25">
      <c r="A65" s="46" t="s">
        <v>30</v>
      </c>
      <c r="B65" s="77" t="s">
        <v>1069</v>
      </c>
      <c r="C65" s="51" t="s">
        <v>1209</v>
      </c>
      <c r="D65" s="43" t="s">
        <v>1229</v>
      </c>
      <c r="E65" s="46">
        <v>50</v>
      </c>
      <c r="F65" s="282">
        <f t="shared" si="1"/>
        <v>9.46969696969697E-3</v>
      </c>
      <c r="G65" s="46">
        <v>2007</v>
      </c>
      <c r="H65" s="46"/>
      <c r="I65" s="107" t="s">
        <v>1248</v>
      </c>
      <c r="J65" s="107" t="s">
        <v>1247</v>
      </c>
      <c r="K65" s="27"/>
      <c r="L65" s="43"/>
      <c r="M65" s="46"/>
      <c r="N65" s="43"/>
      <c r="O65" s="43"/>
      <c r="P65" s="43"/>
      <c r="Q65" s="43"/>
      <c r="S65" s="43"/>
    </row>
    <row r="66" spans="1:19" ht="30" x14ac:dyDescent="0.25">
      <c r="A66" s="46" t="s">
        <v>30</v>
      </c>
      <c r="B66" s="77" t="s">
        <v>1069</v>
      </c>
      <c r="C66" s="51" t="s">
        <v>1209</v>
      </c>
      <c r="D66" s="43" t="s">
        <v>1249</v>
      </c>
      <c r="E66" s="46">
        <v>50</v>
      </c>
      <c r="F66" s="282">
        <f t="shared" si="1"/>
        <v>9.46969696969697E-3</v>
      </c>
      <c r="G66" s="46">
        <v>2013</v>
      </c>
      <c r="H66" s="46"/>
      <c r="I66" s="107" t="s">
        <v>1251</v>
      </c>
      <c r="J66" s="107" t="s">
        <v>1250</v>
      </c>
      <c r="K66" s="27"/>
      <c r="L66" s="43"/>
      <c r="M66" s="46"/>
      <c r="N66" s="43"/>
      <c r="O66" s="43"/>
      <c r="P66" s="43"/>
      <c r="Q66" s="43"/>
      <c r="S66" s="43"/>
    </row>
    <row r="67" spans="1:19" ht="60" x14ac:dyDescent="0.25">
      <c r="A67" s="46" t="s">
        <v>30</v>
      </c>
      <c r="B67" s="77" t="s">
        <v>1069</v>
      </c>
      <c r="C67" s="51" t="s">
        <v>1209</v>
      </c>
      <c r="D67" s="43" t="s">
        <v>1230</v>
      </c>
      <c r="E67" s="46">
        <v>575</v>
      </c>
      <c r="F67" s="115">
        <f t="shared" si="1"/>
        <v>0.10890151515151515</v>
      </c>
      <c r="G67" s="46">
        <v>1988</v>
      </c>
      <c r="H67" s="63" t="s">
        <v>1307</v>
      </c>
      <c r="I67" s="54" t="s">
        <v>1308</v>
      </c>
      <c r="J67" s="107" t="s">
        <v>1309</v>
      </c>
      <c r="K67" s="27"/>
      <c r="L67" s="43"/>
      <c r="M67" s="46"/>
      <c r="N67" s="43"/>
      <c r="O67" s="43"/>
      <c r="P67" s="43"/>
      <c r="Q67" s="43"/>
      <c r="S67" s="43"/>
    </row>
    <row r="68" spans="1:19" ht="45" x14ac:dyDescent="0.25">
      <c r="A68" s="46" t="s">
        <v>30</v>
      </c>
      <c r="B68" s="77" t="s">
        <v>1069</v>
      </c>
      <c r="C68" s="51" t="s">
        <v>1209</v>
      </c>
      <c r="D68" s="43" t="s">
        <v>1231</v>
      </c>
      <c r="E68" s="46">
        <v>150</v>
      </c>
      <c r="F68" s="115">
        <f>E68/5280</f>
        <v>2.8409090909090908E-2</v>
      </c>
      <c r="G68" s="46">
        <v>2007</v>
      </c>
      <c r="H68" s="46">
        <v>2011</v>
      </c>
      <c r="I68" s="54" t="s">
        <v>1253</v>
      </c>
      <c r="J68" s="54" t="s">
        <v>1252</v>
      </c>
      <c r="K68" s="27"/>
      <c r="L68" s="43"/>
      <c r="M68" s="46"/>
      <c r="N68" s="43"/>
      <c r="O68" s="43"/>
      <c r="P68" s="43"/>
      <c r="Q68" s="43"/>
      <c r="S68" s="43"/>
    </row>
    <row r="69" spans="1:19" ht="60" x14ac:dyDescent="0.25">
      <c r="A69" s="46" t="s">
        <v>30</v>
      </c>
      <c r="B69" s="77" t="s">
        <v>1069</v>
      </c>
      <c r="C69" s="51" t="s">
        <v>1209</v>
      </c>
      <c r="D69" s="43" t="s">
        <v>1232</v>
      </c>
      <c r="E69" s="46">
        <v>315</v>
      </c>
      <c r="F69" s="115">
        <f t="shared" si="1"/>
        <v>5.9659090909090912E-2</v>
      </c>
      <c r="G69" s="46">
        <v>2006</v>
      </c>
      <c r="H69" s="46" t="s">
        <v>1256</v>
      </c>
      <c r="I69" s="54" t="s">
        <v>1255</v>
      </c>
      <c r="J69" s="54" t="s">
        <v>1254</v>
      </c>
      <c r="K69" s="27"/>
      <c r="L69" s="43"/>
      <c r="M69" s="46"/>
      <c r="N69" s="43"/>
      <c r="O69" s="43"/>
      <c r="P69" s="43"/>
      <c r="Q69" s="43"/>
      <c r="S69" s="43"/>
    </row>
    <row r="70" spans="1:19" ht="30" x14ac:dyDescent="0.25">
      <c r="A70" s="46" t="s">
        <v>30</v>
      </c>
      <c r="B70" s="77" t="s">
        <v>1069</v>
      </c>
      <c r="C70" s="51" t="s">
        <v>1209</v>
      </c>
      <c r="D70" s="43" t="s">
        <v>1233</v>
      </c>
      <c r="E70" s="46">
        <v>80</v>
      </c>
      <c r="F70" s="115">
        <f t="shared" si="1"/>
        <v>1.5151515151515152E-2</v>
      </c>
      <c r="G70" s="46">
        <v>2007</v>
      </c>
      <c r="H70" s="46"/>
      <c r="I70" s="107" t="s">
        <v>1258</v>
      </c>
      <c r="J70" s="107" t="s">
        <v>1257</v>
      </c>
      <c r="K70" s="27"/>
      <c r="L70" s="43"/>
      <c r="M70" s="46"/>
      <c r="N70" s="43"/>
      <c r="O70" s="43"/>
      <c r="P70" s="43"/>
      <c r="Q70" s="43"/>
      <c r="S70" s="43"/>
    </row>
    <row r="71" spans="1:19" ht="75" x14ac:dyDescent="0.25">
      <c r="A71" s="46" t="s">
        <v>30</v>
      </c>
      <c r="B71" s="77" t="s">
        <v>1069</v>
      </c>
      <c r="C71" s="42" t="s">
        <v>1209</v>
      </c>
      <c r="D71" s="43" t="s">
        <v>1237</v>
      </c>
      <c r="E71" s="249">
        <v>3250</v>
      </c>
      <c r="F71" s="27">
        <f>E71/5280</f>
        <v>0.61553030303030298</v>
      </c>
      <c r="G71" s="46" t="s">
        <v>146</v>
      </c>
      <c r="H71" s="46">
        <v>2014</v>
      </c>
      <c r="I71" s="54" t="s">
        <v>1259</v>
      </c>
      <c r="J71" s="54" t="s">
        <v>1260</v>
      </c>
      <c r="K71" s="27"/>
      <c r="L71" s="43"/>
      <c r="M71" s="46"/>
      <c r="N71" s="43"/>
      <c r="O71" s="43"/>
      <c r="P71" s="43"/>
      <c r="Q71" s="43"/>
      <c r="S71" s="43"/>
    </row>
    <row r="72" spans="1:19" ht="60" x14ac:dyDescent="0.25">
      <c r="A72" s="46" t="s">
        <v>30</v>
      </c>
      <c r="B72" s="77" t="s">
        <v>1069</v>
      </c>
      <c r="C72" s="51" t="s">
        <v>1209</v>
      </c>
      <c r="D72" s="43" t="s">
        <v>1234</v>
      </c>
      <c r="E72" s="46">
        <v>260</v>
      </c>
      <c r="F72" s="115">
        <f t="shared" ref="F72:F82" si="2">E72/5280</f>
        <v>4.924242424242424E-2</v>
      </c>
      <c r="G72" s="46">
        <v>2004</v>
      </c>
      <c r="H72" s="46" t="s">
        <v>1261</v>
      </c>
      <c r="I72" s="54" t="s">
        <v>1263</v>
      </c>
      <c r="J72" s="54" t="s">
        <v>1262</v>
      </c>
      <c r="K72" s="27"/>
      <c r="L72" s="43"/>
      <c r="M72" s="46"/>
      <c r="N72" s="43"/>
      <c r="O72" s="43"/>
      <c r="P72" s="43"/>
      <c r="Q72" s="43"/>
      <c r="S72" s="43"/>
    </row>
    <row r="73" spans="1:19" ht="30" x14ac:dyDescent="0.25">
      <c r="A73" s="46" t="s">
        <v>30</v>
      </c>
      <c r="B73" s="77" t="s">
        <v>1069</v>
      </c>
      <c r="C73" s="51" t="s">
        <v>1209</v>
      </c>
      <c r="D73" s="43" t="s">
        <v>1235</v>
      </c>
      <c r="E73" s="46">
        <v>100</v>
      </c>
      <c r="F73" s="115">
        <f t="shared" si="2"/>
        <v>1.893939393939394E-2</v>
      </c>
      <c r="G73" s="46">
        <v>2001</v>
      </c>
      <c r="H73" s="46"/>
      <c r="I73" s="107" t="s">
        <v>1265</v>
      </c>
      <c r="J73" s="107" t="s">
        <v>1264</v>
      </c>
      <c r="K73" s="27"/>
      <c r="L73" s="43"/>
      <c r="M73" s="46"/>
      <c r="N73" s="43"/>
      <c r="O73" s="43"/>
      <c r="P73" s="43"/>
      <c r="Q73" s="43"/>
      <c r="S73" s="43"/>
    </row>
    <row r="74" spans="1:19" ht="75" x14ac:dyDescent="0.25">
      <c r="A74" s="46" t="s">
        <v>30</v>
      </c>
      <c r="B74" s="77" t="s">
        <v>1069</v>
      </c>
      <c r="C74" s="51" t="s">
        <v>1209</v>
      </c>
      <c r="D74" s="43" t="s">
        <v>1266</v>
      </c>
      <c r="E74" s="46">
        <v>245</v>
      </c>
      <c r="F74" s="115">
        <f t="shared" si="2"/>
        <v>4.6401515151515152E-2</v>
      </c>
      <c r="G74" s="46">
        <v>2007</v>
      </c>
      <c r="H74" s="46">
        <v>2013</v>
      </c>
      <c r="I74" s="107" t="s">
        <v>1267</v>
      </c>
      <c r="J74" s="107" t="s">
        <v>1268</v>
      </c>
      <c r="K74" s="27"/>
      <c r="L74" s="43"/>
      <c r="M74" s="46"/>
      <c r="N74" s="43"/>
      <c r="O74" s="43"/>
      <c r="P74" s="43"/>
      <c r="Q74" s="43"/>
      <c r="S74" s="43"/>
    </row>
    <row r="75" spans="1:19" ht="30" x14ac:dyDescent="0.25">
      <c r="A75" s="46" t="s">
        <v>30</v>
      </c>
      <c r="B75" s="77" t="s">
        <v>1069</v>
      </c>
      <c r="C75" s="51" t="s">
        <v>1209</v>
      </c>
      <c r="D75" s="43" t="s">
        <v>1236</v>
      </c>
      <c r="E75" s="46">
        <v>120</v>
      </c>
      <c r="F75" s="115">
        <f t="shared" si="2"/>
        <v>2.2727272727272728E-2</v>
      </c>
      <c r="G75" s="46">
        <v>2007</v>
      </c>
      <c r="H75" s="46"/>
      <c r="I75" s="107" t="s">
        <v>1270</v>
      </c>
      <c r="J75" s="107" t="s">
        <v>1269</v>
      </c>
      <c r="K75" s="27"/>
      <c r="L75" s="43"/>
      <c r="M75" s="46"/>
      <c r="N75" s="43"/>
      <c r="O75" s="43"/>
      <c r="P75" s="43"/>
      <c r="Q75" s="43"/>
      <c r="S75" s="43"/>
    </row>
    <row r="76" spans="1:19" ht="30" x14ac:dyDescent="0.25">
      <c r="A76" s="46" t="s">
        <v>30</v>
      </c>
      <c r="B76" s="77" t="s">
        <v>1069</v>
      </c>
      <c r="C76" s="51" t="s">
        <v>1209</v>
      </c>
      <c r="D76" s="54" t="s">
        <v>1273</v>
      </c>
      <c r="E76" s="46">
        <v>280</v>
      </c>
      <c r="F76" s="115">
        <f t="shared" si="2"/>
        <v>5.3030303030303032E-2</v>
      </c>
      <c r="G76" s="46">
        <v>2003</v>
      </c>
      <c r="H76" s="46"/>
      <c r="I76" s="107" t="s">
        <v>1272</v>
      </c>
      <c r="J76" s="107" t="s">
        <v>1271</v>
      </c>
      <c r="K76" s="27"/>
      <c r="L76" s="43"/>
      <c r="M76" s="46"/>
      <c r="N76" s="43"/>
      <c r="O76" s="43"/>
      <c r="P76" s="43"/>
      <c r="Q76" s="43"/>
      <c r="S76" s="43"/>
    </row>
    <row r="77" spans="1:19" x14ac:dyDescent="0.25">
      <c r="A77" s="46" t="s">
        <v>30</v>
      </c>
      <c r="B77" s="77" t="s">
        <v>1069</v>
      </c>
      <c r="C77" s="51" t="s">
        <v>1209</v>
      </c>
      <c r="D77" s="60" t="s">
        <v>1274</v>
      </c>
      <c r="E77" s="46">
        <v>240</v>
      </c>
      <c r="F77" s="115">
        <f t="shared" si="2"/>
        <v>4.5454545454545456E-2</v>
      </c>
      <c r="G77" s="46">
        <v>2013</v>
      </c>
      <c r="H77" s="46"/>
      <c r="I77" t="s">
        <v>1276</v>
      </c>
      <c r="J77" t="s">
        <v>1275</v>
      </c>
      <c r="K77" s="27"/>
      <c r="L77" s="43"/>
      <c r="M77" s="46"/>
      <c r="N77" s="43"/>
      <c r="O77" s="43"/>
      <c r="P77" s="43"/>
      <c r="Q77" s="43"/>
      <c r="S77" s="43"/>
    </row>
    <row r="78" spans="1:19" ht="30" x14ac:dyDescent="0.25">
      <c r="A78" s="46" t="s">
        <v>30</v>
      </c>
      <c r="B78" s="77" t="s">
        <v>1069</v>
      </c>
      <c r="C78" s="51" t="s">
        <v>1209</v>
      </c>
      <c r="D78" s="54" t="s">
        <v>1278</v>
      </c>
      <c r="E78" s="46">
        <v>255</v>
      </c>
      <c r="F78" s="115">
        <f t="shared" si="2"/>
        <v>4.8295454545454544E-2</v>
      </c>
      <c r="G78" s="46">
        <v>2003</v>
      </c>
      <c r="H78" s="46">
        <v>2013</v>
      </c>
      <c r="I78" t="s">
        <v>1272</v>
      </c>
      <c r="J78" t="s">
        <v>1271</v>
      </c>
      <c r="K78" s="27"/>
      <c r="L78" s="43"/>
      <c r="M78" s="46"/>
      <c r="N78" s="43"/>
      <c r="O78" s="43"/>
      <c r="P78" s="43"/>
      <c r="Q78" s="43"/>
      <c r="S78" s="43"/>
    </row>
    <row r="79" spans="1:19" x14ac:dyDescent="0.25">
      <c r="A79" s="46" t="s">
        <v>30</v>
      </c>
      <c r="B79" s="77" t="s">
        <v>1069</v>
      </c>
      <c r="C79" s="51" t="s">
        <v>1209</v>
      </c>
      <c r="D79" s="43" t="s">
        <v>1277</v>
      </c>
      <c r="E79" s="46">
        <v>405</v>
      </c>
      <c r="F79" s="115">
        <f t="shared" si="2"/>
        <v>7.6704545454545456E-2</v>
      </c>
      <c r="G79" s="46">
        <v>2013</v>
      </c>
      <c r="H79" s="46">
        <v>2016</v>
      </c>
      <c r="I79" s="54" t="s">
        <v>1280</v>
      </c>
      <c r="J79" t="s">
        <v>1279</v>
      </c>
      <c r="K79" s="27"/>
      <c r="L79" s="43"/>
      <c r="M79" s="46"/>
      <c r="N79" s="43"/>
      <c r="O79" s="43"/>
      <c r="P79" s="43"/>
      <c r="Q79" s="43"/>
      <c r="S79" s="43"/>
    </row>
    <row r="80" spans="1:19" ht="45" x14ac:dyDescent="0.25">
      <c r="A80" s="46" t="s">
        <v>30</v>
      </c>
      <c r="B80" s="77" t="s">
        <v>1069</v>
      </c>
      <c r="C80" s="51" t="s">
        <v>1209</v>
      </c>
      <c r="D80" s="43" t="s">
        <v>1238</v>
      </c>
      <c r="E80" s="46">
        <v>180</v>
      </c>
      <c r="F80" s="115">
        <f t="shared" si="2"/>
        <v>3.4090909090909088E-2</v>
      </c>
      <c r="G80" s="46">
        <v>2007</v>
      </c>
      <c r="H80" s="46">
        <v>2012</v>
      </c>
      <c r="I80" s="54" t="s">
        <v>1282</v>
      </c>
      <c r="J80" t="s">
        <v>1281</v>
      </c>
      <c r="K80" s="27"/>
      <c r="L80" s="43"/>
      <c r="M80" s="46"/>
      <c r="N80" s="43"/>
      <c r="O80" s="43"/>
      <c r="P80" s="43"/>
      <c r="Q80" s="43"/>
      <c r="S80" s="43"/>
    </row>
    <row r="81" spans="1:20" ht="75" x14ac:dyDescent="0.25">
      <c r="A81" s="46" t="s">
        <v>30</v>
      </c>
      <c r="B81" s="77" t="s">
        <v>1069</v>
      </c>
      <c r="C81" s="51" t="s">
        <v>1209</v>
      </c>
      <c r="D81" s="54" t="s">
        <v>1285</v>
      </c>
      <c r="E81" s="46">
        <v>250</v>
      </c>
      <c r="F81" s="115">
        <f t="shared" si="2"/>
        <v>4.7348484848484848E-2</v>
      </c>
      <c r="G81" s="46">
        <v>2003</v>
      </c>
      <c r="H81" s="46">
        <v>2013</v>
      </c>
      <c r="I81" t="s">
        <v>1284</v>
      </c>
      <c r="J81" s="54" t="s">
        <v>1283</v>
      </c>
      <c r="K81" s="27"/>
      <c r="L81" s="43"/>
      <c r="M81" s="46"/>
      <c r="N81" s="43"/>
      <c r="O81" s="43"/>
      <c r="P81" s="43"/>
      <c r="Q81" s="43"/>
      <c r="S81" s="43"/>
    </row>
    <row r="82" spans="1:20" ht="60" x14ac:dyDescent="0.25">
      <c r="A82" s="46" t="s">
        <v>30</v>
      </c>
      <c r="B82" s="77" t="s">
        <v>1069</v>
      </c>
      <c r="C82" s="51" t="s">
        <v>1209</v>
      </c>
      <c r="D82" s="54" t="s">
        <v>1286</v>
      </c>
      <c r="E82" s="46">
        <v>240</v>
      </c>
      <c r="F82" s="115">
        <f t="shared" si="2"/>
        <v>4.5454545454545456E-2</v>
      </c>
      <c r="G82" s="46">
        <v>2013</v>
      </c>
      <c r="H82" s="46"/>
      <c r="I82" s="104" t="s">
        <v>1288</v>
      </c>
      <c r="J82" s="54" t="s">
        <v>1292</v>
      </c>
      <c r="K82" s="27"/>
      <c r="L82" s="43"/>
      <c r="M82" s="46"/>
      <c r="N82" s="43"/>
      <c r="O82" s="43"/>
      <c r="P82" s="43"/>
      <c r="Q82" s="43"/>
      <c r="S82" s="43"/>
    </row>
    <row r="83" spans="1:20" ht="60" x14ac:dyDescent="0.25">
      <c r="A83" s="46" t="s">
        <v>30</v>
      </c>
      <c r="B83" s="77" t="s">
        <v>1069</v>
      </c>
      <c r="C83" s="51" t="s">
        <v>1209</v>
      </c>
      <c r="D83" s="43" t="s">
        <v>1239</v>
      </c>
      <c r="E83" s="46">
        <v>95</v>
      </c>
      <c r="F83" s="115" t="s">
        <v>853</v>
      </c>
      <c r="G83" s="46">
        <v>2007</v>
      </c>
      <c r="H83" s="46" t="s">
        <v>1289</v>
      </c>
      <c r="I83" s="54" t="s">
        <v>1291</v>
      </c>
      <c r="J83" s="54" t="s">
        <v>1290</v>
      </c>
      <c r="K83" s="27"/>
      <c r="L83" s="43"/>
      <c r="M83" s="46"/>
      <c r="N83" s="43"/>
      <c r="O83" s="43"/>
      <c r="P83" s="43"/>
      <c r="Q83" s="43"/>
      <c r="S83" s="43"/>
    </row>
    <row r="84" spans="1:20" ht="45" x14ac:dyDescent="0.25">
      <c r="A84" s="46" t="s">
        <v>30</v>
      </c>
      <c r="B84" s="77" t="s">
        <v>1069</v>
      </c>
      <c r="C84" s="51" t="s">
        <v>1209</v>
      </c>
      <c r="D84" s="43" t="s">
        <v>1287</v>
      </c>
      <c r="E84" s="46">
        <v>280</v>
      </c>
      <c r="F84" s="27">
        <f>E84/5280</f>
        <v>5.3030303030303032E-2</v>
      </c>
      <c r="G84" s="46">
        <v>2013</v>
      </c>
      <c r="H84" s="46"/>
      <c r="I84" s="54" t="s">
        <v>1293</v>
      </c>
      <c r="J84" t="s">
        <v>1294</v>
      </c>
      <c r="K84" s="27"/>
      <c r="L84" s="43"/>
      <c r="M84" s="46"/>
      <c r="N84" s="43"/>
      <c r="O84" s="43"/>
      <c r="P84" s="43"/>
      <c r="Q84" s="43"/>
      <c r="S84" s="43"/>
    </row>
    <row r="85" spans="1:20" ht="30" x14ac:dyDescent="0.25">
      <c r="A85" s="46" t="s">
        <v>30</v>
      </c>
      <c r="B85" s="77" t="s">
        <v>1069</v>
      </c>
      <c r="C85" s="51" t="s">
        <v>1209</v>
      </c>
      <c r="D85" s="43" t="s">
        <v>1240</v>
      </c>
      <c r="E85" s="46">
        <v>70</v>
      </c>
      <c r="F85" s="115" t="s">
        <v>853</v>
      </c>
      <c r="G85" s="46">
        <v>2007</v>
      </c>
      <c r="H85" s="46"/>
      <c r="I85" t="s">
        <v>1295</v>
      </c>
      <c r="J85" t="s">
        <v>1296</v>
      </c>
      <c r="K85" s="27"/>
      <c r="L85" s="43"/>
      <c r="M85" s="46"/>
      <c r="N85" s="43"/>
      <c r="O85" s="43"/>
      <c r="P85" s="43"/>
      <c r="Q85" s="43"/>
      <c r="S85" s="43"/>
    </row>
    <row r="86" spans="1:20" ht="75" x14ac:dyDescent="0.25">
      <c r="A86" s="46" t="s">
        <v>30</v>
      </c>
      <c r="B86" s="77" t="s">
        <v>1069</v>
      </c>
      <c r="C86" s="29" t="s">
        <v>1209</v>
      </c>
      <c r="D86" s="43" t="s">
        <v>1241</v>
      </c>
      <c r="E86" s="249">
        <v>4800</v>
      </c>
      <c r="F86" s="27">
        <f>E86/5280</f>
        <v>0.90909090909090906</v>
      </c>
      <c r="G86" s="46">
        <v>1992</v>
      </c>
      <c r="H86" s="63" t="s">
        <v>221</v>
      </c>
      <c r="I86" s="54" t="s">
        <v>220</v>
      </c>
      <c r="J86" s="54" t="s">
        <v>219</v>
      </c>
      <c r="K86" s="27"/>
      <c r="L86" s="43"/>
      <c r="M86" s="46"/>
      <c r="N86" s="43"/>
      <c r="O86" s="43"/>
      <c r="Q86" s="43"/>
      <c r="S86" s="43"/>
    </row>
    <row r="87" spans="1:20" ht="45" x14ac:dyDescent="0.25">
      <c r="A87" s="46" t="s">
        <v>30</v>
      </c>
      <c r="B87" s="77" t="s">
        <v>1069</v>
      </c>
      <c r="C87" s="29" t="s">
        <v>1209</v>
      </c>
      <c r="D87" s="43" t="s">
        <v>1297</v>
      </c>
      <c r="E87" s="249">
        <v>475</v>
      </c>
      <c r="F87" s="27">
        <f>E87/5280</f>
        <v>8.9962121212121215E-2</v>
      </c>
      <c r="G87" s="46">
        <v>2003</v>
      </c>
      <c r="H87" s="63" t="s">
        <v>1298</v>
      </c>
      <c r="I87" s="54" t="s">
        <v>1300</v>
      </c>
      <c r="J87" t="s">
        <v>1299</v>
      </c>
      <c r="K87" s="27"/>
      <c r="L87" s="43"/>
      <c r="M87" s="46"/>
      <c r="N87" s="43"/>
      <c r="O87" s="43"/>
      <c r="Q87" s="43"/>
      <c r="S87" s="43"/>
    </row>
    <row r="88" spans="1:20" ht="120" x14ac:dyDescent="0.25">
      <c r="A88" s="46" t="s">
        <v>30</v>
      </c>
      <c r="B88" s="77" t="s">
        <v>1069</v>
      </c>
      <c r="C88" s="29" t="s">
        <v>1209</v>
      </c>
      <c r="D88" s="60" t="s">
        <v>1301</v>
      </c>
      <c r="E88" s="62" t="s">
        <v>249</v>
      </c>
      <c r="F88" s="62" t="s">
        <v>249</v>
      </c>
      <c r="G88" s="62" t="s">
        <v>1302</v>
      </c>
      <c r="I88" s="83" t="s">
        <v>1304</v>
      </c>
      <c r="J88" s="83" t="s">
        <v>1303</v>
      </c>
    </row>
    <row r="89" spans="1:20" s="120" customFormat="1" ht="90" x14ac:dyDescent="0.25">
      <c r="A89" s="46" t="s">
        <v>30</v>
      </c>
      <c r="B89" s="77" t="s">
        <v>1069</v>
      </c>
      <c r="C89" s="29" t="s">
        <v>1209</v>
      </c>
      <c r="D89" s="110" t="s">
        <v>167</v>
      </c>
      <c r="E89" s="238">
        <v>3040</v>
      </c>
      <c r="F89" s="27">
        <f>E89/5280</f>
        <v>0.5757575757575758</v>
      </c>
      <c r="G89" s="109" t="s">
        <v>158</v>
      </c>
      <c r="H89" s="109" t="s">
        <v>1305</v>
      </c>
      <c r="I89" s="260" t="s">
        <v>168</v>
      </c>
      <c r="J89" s="260" t="s">
        <v>1306</v>
      </c>
    </row>
    <row r="90" spans="1:20" ht="45" x14ac:dyDescent="0.25">
      <c r="A90" s="46" t="s">
        <v>30</v>
      </c>
      <c r="B90" s="77" t="s">
        <v>1069</v>
      </c>
      <c r="C90" s="29" t="s">
        <v>1242</v>
      </c>
      <c r="D90" s="54" t="s">
        <v>1310</v>
      </c>
      <c r="E90" s="46" t="s">
        <v>249</v>
      </c>
      <c r="F90" s="46" t="s">
        <v>249</v>
      </c>
      <c r="G90" s="46">
        <v>2009</v>
      </c>
      <c r="H90" s="43"/>
      <c r="I90" s="54" t="s">
        <v>293</v>
      </c>
      <c r="J90" s="54" t="s">
        <v>1311</v>
      </c>
      <c r="K90" s="27"/>
      <c r="L90" s="43"/>
      <c r="M90" s="46"/>
      <c r="N90" s="43"/>
      <c r="O90" s="43"/>
      <c r="Q90" s="43"/>
      <c r="R90" s="43"/>
      <c r="S90" s="43"/>
    </row>
    <row r="91" spans="1:20" s="279" customFormat="1" ht="75" x14ac:dyDescent="0.25">
      <c r="A91" s="284" t="s">
        <v>30</v>
      </c>
      <c r="B91" s="236" t="s">
        <v>1069</v>
      </c>
      <c r="C91" s="137" t="s">
        <v>1242</v>
      </c>
      <c r="D91" s="286" t="s">
        <v>1312</v>
      </c>
      <c r="E91" s="284" t="s">
        <v>249</v>
      </c>
      <c r="F91" s="284" t="s">
        <v>249</v>
      </c>
      <c r="G91" s="284" t="s">
        <v>154</v>
      </c>
      <c r="H91" s="283"/>
      <c r="I91" s="286" t="s">
        <v>1314</v>
      </c>
      <c r="J91" s="286" t="s">
        <v>1313</v>
      </c>
      <c r="K91" s="248"/>
      <c r="L91" s="283"/>
      <c r="M91" s="284"/>
      <c r="N91" s="283"/>
      <c r="O91" s="283"/>
      <c r="Q91" s="283"/>
      <c r="R91" s="283"/>
      <c r="S91" s="283"/>
    </row>
    <row r="92" spans="1:20" ht="105" x14ac:dyDescent="0.25">
      <c r="A92" s="46" t="s">
        <v>30</v>
      </c>
      <c r="B92" s="77" t="s">
        <v>1069</v>
      </c>
      <c r="C92" s="29" t="s">
        <v>1242</v>
      </c>
      <c r="D92" s="54" t="s">
        <v>1315</v>
      </c>
      <c r="E92" s="46" t="s">
        <v>249</v>
      </c>
      <c r="F92" s="46" t="s">
        <v>249</v>
      </c>
      <c r="G92" s="62">
        <v>1987</v>
      </c>
      <c r="H92" s="46">
        <v>2009</v>
      </c>
      <c r="I92" s="82" t="s">
        <v>294</v>
      </c>
      <c r="J92" s="82" t="s">
        <v>1316</v>
      </c>
      <c r="K92" s="27"/>
      <c r="L92" s="43"/>
      <c r="M92" s="46"/>
      <c r="N92" s="43"/>
      <c r="O92" s="43"/>
      <c r="Q92" s="43"/>
      <c r="R92" s="43"/>
      <c r="S92" s="43"/>
    </row>
    <row r="93" spans="1:20" x14ac:dyDescent="0.25">
      <c r="C93" s="29"/>
    </row>
    <row r="94" spans="1:20" s="120" customFormat="1" x14ac:dyDescent="0.25">
      <c r="A94" s="109"/>
      <c r="B94" s="29"/>
      <c r="C94" s="29"/>
      <c r="D94" s="110"/>
      <c r="E94" s="110"/>
      <c r="F94" s="110"/>
      <c r="G94" s="110"/>
      <c r="H94" s="39"/>
      <c r="I94" s="260"/>
      <c r="J94" s="260"/>
    </row>
    <row r="95" spans="1:20" s="90" customFormat="1" x14ac:dyDescent="0.25">
      <c r="A95" s="89"/>
      <c r="B95" s="29"/>
      <c r="C95" s="29"/>
      <c r="D95" s="88" t="s">
        <v>6</v>
      </c>
      <c r="E95" s="288">
        <f>SUM(E16:E92)</f>
        <v>28240</v>
      </c>
      <c r="F95" s="65">
        <f>SUM(F2:F92)</f>
        <v>6.9755681818181809</v>
      </c>
      <c r="G95" s="287" t="s">
        <v>320</v>
      </c>
      <c r="H95" s="64"/>
      <c r="I95" s="87"/>
      <c r="J95" s="87"/>
      <c r="K95" s="65"/>
      <c r="L95" s="64"/>
      <c r="M95" s="89"/>
      <c r="N95" s="64"/>
      <c r="O95" s="64"/>
      <c r="Q95" s="64"/>
      <c r="S95" s="64"/>
    </row>
    <row r="96" spans="1:20" x14ac:dyDescent="0.25">
      <c r="A96" s="46"/>
      <c r="B96" s="29"/>
      <c r="C96" s="29"/>
      <c r="D96" s="43"/>
      <c r="E96" s="43"/>
      <c r="F96" s="65" t="s">
        <v>249</v>
      </c>
      <c r="G96" s="64" t="s">
        <v>154</v>
      </c>
      <c r="H96" s="43"/>
      <c r="I96" s="84"/>
      <c r="J96" s="84"/>
      <c r="K96" s="28"/>
      <c r="L96" s="43"/>
      <c r="M96" s="46"/>
      <c r="N96" s="43"/>
      <c r="O96" s="43"/>
      <c r="Q96" s="43"/>
      <c r="R96" s="43"/>
      <c r="S96" s="43"/>
      <c r="T96" s="43"/>
    </row>
    <row r="97" spans="1:22" x14ac:dyDescent="0.25">
      <c r="A97" s="46"/>
      <c r="B97" s="29"/>
      <c r="C97" s="29"/>
      <c r="D97" s="43"/>
      <c r="E97" s="43"/>
      <c r="H97" s="43"/>
      <c r="I97" s="82"/>
      <c r="J97" s="82"/>
      <c r="K97" s="27"/>
      <c r="L97" s="43"/>
      <c r="M97" s="46"/>
      <c r="N97" s="43"/>
      <c r="O97" s="43"/>
      <c r="Q97" s="43"/>
      <c r="S97" s="43"/>
    </row>
    <row r="98" spans="1:22" x14ac:dyDescent="0.25">
      <c r="A98" s="46"/>
      <c r="C98" s="123"/>
      <c r="D98" s="43"/>
      <c r="E98" s="43"/>
      <c r="F98" s="43"/>
      <c r="G98" s="44"/>
      <c r="H98" s="43"/>
      <c r="I98" s="84"/>
      <c r="J98" s="85"/>
      <c r="K98" s="28"/>
      <c r="L98" s="43"/>
      <c r="M98" s="46"/>
      <c r="N98" s="43"/>
      <c r="O98" s="43"/>
      <c r="Q98" s="43"/>
      <c r="R98" s="43"/>
      <c r="S98" s="43"/>
      <c r="T98" s="43"/>
    </row>
    <row r="99" spans="1:22" x14ac:dyDescent="0.25">
      <c r="A99" s="7" t="s">
        <v>247</v>
      </c>
      <c r="B99" s="124" t="s">
        <v>284</v>
      </c>
      <c r="C99" s="70"/>
      <c r="D99" s="124"/>
      <c r="E99" s="43"/>
      <c r="F99" s="43"/>
      <c r="H99" s="43"/>
      <c r="I99" s="54"/>
      <c r="J99" s="54"/>
      <c r="K99" s="27"/>
      <c r="L99" s="43"/>
      <c r="M99" s="46"/>
      <c r="N99" s="43"/>
      <c r="O99" s="43"/>
      <c r="Q99" s="43"/>
      <c r="S99" s="43"/>
    </row>
    <row r="100" spans="1:22" x14ac:dyDescent="0.25">
      <c r="A100" s="1"/>
      <c r="B100" s="124" t="s">
        <v>248</v>
      </c>
      <c r="C100" s="107"/>
      <c r="D100" s="99"/>
      <c r="E100" s="43"/>
      <c r="F100" s="43"/>
      <c r="G100" s="43"/>
      <c r="H100" s="43"/>
      <c r="I100" s="54"/>
      <c r="J100" s="54"/>
      <c r="K100" s="27"/>
      <c r="L100" s="43"/>
      <c r="M100" s="46"/>
      <c r="N100" s="43"/>
      <c r="O100" s="43"/>
      <c r="Q100" s="43"/>
      <c r="S100" s="43"/>
      <c r="V100" s="43"/>
    </row>
    <row r="101" spans="1:22" x14ac:dyDescent="0.25">
      <c r="A101" s="38"/>
      <c r="B101" s="124" t="s">
        <v>1411</v>
      </c>
      <c r="D101" s="124"/>
      <c r="E101" s="43"/>
      <c r="F101" s="43"/>
      <c r="H101" s="43"/>
      <c r="I101" s="82"/>
      <c r="J101" s="82"/>
      <c r="K101" s="27"/>
      <c r="L101" s="43"/>
      <c r="M101" s="46"/>
      <c r="N101" s="43"/>
      <c r="O101" s="43"/>
      <c r="P101" s="43"/>
      <c r="Q101" s="43"/>
      <c r="S101" s="43"/>
    </row>
    <row r="102" spans="1:22" x14ac:dyDescent="0.25">
      <c r="A102" s="10"/>
      <c r="B102" s="125" t="s">
        <v>484</v>
      </c>
      <c r="C102" s="29"/>
      <c r="D102" s="125"/>
      <c r="E102" s="43"/>
      <c r="F102" s="43"/>
      <c r="G102" s="43"/>
      <c r="H102" s="43"/>
      <c r="I102" s="54"/>
      <c r="J102" s="54"/>
      <c r="K102" s="27"/>
      <c r="L102" s="43"/>
      <c r="M102" s="46"/>
      <c r="N102" s="43"/>
      <c r="O102" s="43"/>
      <c r="P102" s="43"/>
      <c r="Q102" s="43"/>
      <c r="S102" s="43"/>
      <c r="V102" s="43"/>
    </row>
    <row r="103" spans="1:22" x14ac:dyDescent="0.25">
      <c r="A103" s="46"/>
      <c r="C103" s="234" t="s">
        <v>483</v>
      </c>
      <c r="D103" s="43"/>
      <c r="E103" s="43"/>
      <c r="F103" s="43"/>
      <c r="G103" s="43"/>
      <c r="H103" s="43"/>
      <c r="I103" s="54"/>
      <c r="J103" s="54"/>
      <c r="K103" s="27"/>
      <c r="L103" s="43"/>
      <c r="M103" s="46"/>
      <c r="N103" s="43"/>
      <c r="O103" s="43"/>
      <c r="Q103" s="43"/>
      <c r="R103" s="43"/>
      <c r="S103" s="43"/>
      <c r="T103" s="43"/>
      <c r="V103" s="43"/>
    </row>
    <row r="104" spans="1:22" x14ac:dyDescent="0.25">
      <c r="A104" s="46"/>
      <c r="B104" s="29"/>
      <c r="C104" s="29"/>
      <c r="D104" s="43"/>
      <c r="E104" s="43"/>
      <c r="F104" s="43"/>
      <c r="G104" s="43"/>
      <c r="H104" s="43"/>
      <c r="I104" s="54"/>
      <c r="J104" s="54"/>
      <c r="K104" s="27"/>
      <c r="L104" s="43"/>
      <c r="M104" s="46"/>
      <c r="N104" s="43"/>
      <c r="O104" s="43"/>
      <c r="Q104" s="43"/>
      <c r="S104" s="43"/>
      <c r="V104" s="43"/>
    </row>
    <row r="105" spans="1:22" x14ac:dyDescent="0.25">
      <c r="A105" s="46"/>
      <c r="B105" s="29"/>
      <c r="C105" s="29"/>
      <c r="D105" s="43"/>
      <c r="E105" s="43"/>
      <c r="F105" s="43"/>
      <c r="G105" s="43"/>
      <c r="H105" s="43"/>
      <c r="I105" s="54"/>
      <c r="J105" s="54"/>
      <c r="K105" s="27"/>
      <c r="L105" s="43"/>
      <c r="M105" s="46"/>
      <c r="N105" s="43"/>
      <c r="O105" s="43"/>
      <c r="Q105" s="43"/>
      <c r="S105" s="43"/>
      <c r="V105" s="43"/>
    </row>
    <row r="106" spans="1:22" x14ac:dyDescent="0.25">
      <c r="A106" s="46"/>
      <c r="B106" s="29"/>
      <c r="C106" s="29"/>
      <c r="D106" s="43"/>
      <c r="E106" s="43"/>
      <c r="F106" s="43"/>
      <c r="G106" s="44"/>
      <c r="H106" s="43"/>
      <c r="I106" s="84"/>
      <c r="J106" s="84"/>
      <c r="K106" s="27"/>
      <c r="L106" s="43"/>
      <c r="M106" s="46"/>
      <c r="N106" s="43"/>
      <c r="O106" s="43"/>
      <c r="P106" s="43"/>
      <c r="Q106" s="43"/>
      <c r="R106" s="43"/>
      <c r="S106" s="43"/>
      <c r="T106" s="43"/>
    </row>
    <row r="107" spans="1:22" x14ac:dyDescent="0.25">
      <c r="A107" s="46"/>
      <c r="B107" s="29"/>
      <c r="C107" s="29"/>
      <c r="D107" s="43"/>
      <c r="E107" s="43"/>
      <c r="F107" s="43"/>
      <c r="G107" s="43"/>
      <c r="H107" s="43"/>
      <c r="I107" s="54"/>
      <c r="J107" s="54"/>
      <c r="K107" s="27"/>
      <c r="L107" s="43"/>
      <c r="M107" s="46"/>
      <c r="N107" s="43"/>
      <c r="O107" s="43"/>
      <c r="S107" s="43"/>
    </row>
    <row r="108" spans="1:22" x14ac:dyDescent="0.25">
      <c r="A108" s="46"/>
      <c r="B108" s="29"/>
      <c r="C108" s="29"/>
      <c r="D108" s="43"/>
      <c r="E108" s="43"/>
      <c r="F108" s="43"/>
      <c r="G108" s="43"/>
      <c r="H108" s="43"/>
      <c r="I108" s="54"/>
      <c r="J108" s="54"/>
      <c r="K108" s="27"/>
      <c r="L108" s="43"/>
      <c r="M108" s="46"/>
      <c r="N108" s="43"/>
      <c r="O108" s="43"/>
      <c r="P108" s="43"/>
      <c r="Q108" s="43"/>
      <c r="R108" s="43"/>
      <c r="S108" s="43"/>
      <c r="T108" s="43"/>
      <c r="V108" s="43"/>
    </row>
    <row r="109" spans="1:22" x14ac:dyDescent="0.25">
      <c r="A109" s="46"/>
      <c r="B109" s="29"/>
      <c r="C109" s="29"/>
      <c r="D109" s="43"/>
      <c r="E109" s="43"/>
      <c r="F109" s="43"/>
      <c r="G109" s="43"/>
      <c r="H109" s="43"/>
      <c r="I109" s="54"/>
      <c r="J109" s="54"/>
      <c r="K109" s="27"/>
      <c r="L109" s="43"/>
      <c r="M109" s="46"/>
      <c r="N109" s="43"/>
      <c r="O109" s="43"/>
      <c r="Q109" s="43"/>
      <c r="R109" s="43"/>
      <c r="S109" s="43"/>
      <c r="T109" s="43"/>
    </row>
    <row r="110" spans="1:22" x14ac:dyDescent="0.25">
      <c r="A110" s="46"/>
      <c r="B110" s="29"/>
      <c r="C110" s="29"/>
      <c r="D110" s="43"/>
      <c r="E110" s="43"/>
      <c r="F110" s="43"/>
      <c r="G110" s="43"/>
      <c r="H110" s="43"/>
      <c r="I110" s="54"/>
      <c r="J110" s="54"/>
      <c r="K110" s="27"/>
      <c r="L110" s="43"/>
      <c r="M110" s="46"/>
      <c r="N110" s="43"/>
      <c r="O110" s="43"/>
      <c r="P110" s="43"/>
      <c r="Q110" s="43"/>
      <c r="R110" s="43"/>
      <c r="S110" s="43"/>
      <c r="T110" s="43"/>
    </row>
    <row r="111" spans="1:22" x14ac:dyDescent="0.25">
      <c r="A111" s="46"/>
      <c r="B111" s="29"/>
      <c r="C111" s="29"/>
      <c r="D111" s="43"/>
      <c r="E111" s="43"/>
      <c r="F111" s="43"/>
      <c r="G111" s="43"/>
      <c r="H111" s="43"/>
      <c r="I111" s="54"/>
      <c r="J111" s="54"/>
      <c r="K111" s="27"/>
      <c r="L111" s="43"/>
      <c r="M111" s="46"/>
      <c r="N111" s="43"/>
      <c r="O111" s="43"/>
      <c r="P111" s="43"/>
      <c r="Q111" s="43"/>
      <c r="R111" s="43"/>
      <c r="S111" s="43"/>
      <c r="T111" s="43"/>
      <c r="V111" s="43"/>
    </row>
    <row r="112" spans="1:22" x14ac:dyDescent="0.25">
      <c r="A112" s="46"/>
      <c r="B112" s="29"/>
      <c r="C112" s="29"/>
      <c r="D112" s="43"/>
      <c r="E112" s="43"/>
      <c r="F112" s="43"/>
      <c r="G112" s="43"/>
      <c r="H112" s="43"/>
      <c r="I112" s="54"/>
      <c r="J112" s="54"/>
      <c r="K112" s="27"/>
      <c r="L112" s="43"/>
      <c r="M112" s="46"/>
      <c r="N112" s="43"/>
      <c r="O112" s="43"/>
      <c r="P112" s="43"/>
      <c r="S112" s="43"/>
    </row>
    <row r="113" spans="1:22" x14ac:dyDescent="0.25">
      <c r="A113" s="46"/>
      <c r="B113" s="29"/>
      <c r="C113" s="29"/>
      <c r="D113" s="43"/>
      <c r="E113" s="43"/>
      <c r="H113" s="43"/>
      <c r="I113" s="82"/>
      <c r="J113" s="82"/>
      <c r="K113" s="27"/>
      <c r="L113" s="43"/>
      <c r="M113" s="46"/>
      <c r="N113" s="43"/>
      <c r="O113" s="43"/>
      <c r="P113" s="43"/>
      <c r="S113" s="43"/>
    </row>
    <row r="114" spans="1:22" x14ac:dyDescent="0.25">
      <c r="A114" s="46"/>
      <c r="B114" s="29"/>
      <c r="C114" s="29"/>
      <c r="D114" s="43"/>
      <c r="E114" s="43"/>
      <c r="F114" s="43"/>
      <c r="G114" s="44"/>
      <c r="H114" s="43"/>
      <c r="I114" s="84"/>
      <c r="J114" s="84"/>
      <c r="K114" s="28"/>
      <c r="L114" s="43"/>
      <c r="M114" s="46"/>
      <c r="N114" s="43"/>
      <c r="O114" s="43"/>
      <c r="S114" s="43"/>
    </row>
    <row r="115" spans="1:22" x14ac:dyDescent="0.25">
      <c r="A115" s="46"/>
      <c r="B115" s="29"/>
      <c r="C115" s="29"/>
      <c r="D115" s="43"/>
      <c r="E115" s="43"/>
      <c r="F115" s="43"/>
      <c r="G115" s="43"/>
      <c r="H115" s="43"/>
      <c r="I115" s="54"/>
      <c r="J115" s="54"/>
      <c r="K115" s="27"/>
      <c r="L115" s="43"/>
      <c r="M115" s="46"/>
      <c r="N115" s="43"/>
      <c r="O115" s="43"/>
      <c r="Q115" s="43"/>
      <c r="R115" s="43"/>
      <c r="S115" s="43"/>
      <c r="T115" s="43"/>
    </row>
    <row r="116" spans="1:22" x14ac:dyDescent="0.25">
      <c r="A116" s="46"/>
      <c r="B116" s="29"/>
      <c r="C116" s="29"/>
      <c r="D116" s="43"/>
      <c r="E116" s="43"/>
      <c r="F116" s="43"/>
      <c r="G116" s="43"/>
      <c r="H116" s="43"/>
      <c r="I116" s="54"/>
      <c r="J116" s="54"/>
      <c r="K116" s="27"/>
      <c r="L116" s="43"/>
      <c r="M116" s="46"/>
      <c r="N116" s="43"/>
      <c r="O116" s="43"/>
      <c r="Q116" s="43"/>
      <c r="S116" s="43"/>
      <c r="V116" s="43"/>
    </row>
    <row r="117" spans="1:22" x14ac:dyDescent="0.25">
      <c r="A117" s="46"/>
      <c r="B117" s="29"/>
      <c r="C117" s="29"/>
      <c r="D117" s="43"/>
      <c r="E117" s="43"/>
      <c r="F117" s="43"/>
      <c r="G117" s="43"/>
      <c r="H117" s="43"/>
      <c r="I117" s="54"/>
      <c r="J117" s="54"/>
      <c r="K117" s="27"/>
      <c r="L117" s="43"/>
      <c r="M117" s="46"/>
      <c r="N117" s="43"/>
      <c r="O117" s="43"/>
      <c r="Q117" s="43"/>
      <c r="S117" s="43"/>
      <c r="V117" s="43"/>
    </row>
    <row r="118" spans="1:22" x14ac:dyDescent="0.25">
      <c r="A118" s="46"/>
      <c r="B118" s="29"/>
      <c r="C118" s="29"/>
      <c r="D118" s="43"/>
      <c r="E118" s="43"/>
      <c r="F118" s="43"/>
      <c r="G118" s="44"/>
      <c r="H118" s="43"/>
      <c r="I118" s="84"/>
      <c r="J118" s="84"/>
      <c r="K118" s="28"/>
      <c r="L118" s="43"/>
      <c r="M118" s="46"/>
      <c r="N118" s="43"/>
      <c r="O118" s="43"/>
      <c r="Q118" s="43"/>
      <c r="S118" s="43"/>
      <c r="V118" s="43"/>
    </row>
    <row r="119" spans="1:22" x14ac:dyDescent="0.25">
      <c r="A119" s="46"/>
      <c r="B119" s="29"/>
      <c r="C119" s="29"/>
      <c r="D119" s="43"/>
      <c r="E119" s="43"/>
      <c r="F119" s="43"/>
      <c r="G119" s="43"/>
      <c r="H119" s="43"/>
      <c r="I119" s="54"/>
      <c r="J119" s="54"/>
      <c r="K119" s="27"/>
      <c r="L119" s="43"/>
      <c r="M119" s="46"/>
      <c r="N119" s="43"/>
      <c r="O119" s="43"/>
      <c r="Q119" s="43"/>
      <c r="S119" s="43"/>
      <c r="V119" s="43"/>
    </row>
    <row r="120" spans="1:22" x14ac:dyDescent="0.25">
      <c r="A120" s="46"/>
      <c r="B120" s="29"/>
      <c r="C120" s="29"/>
      <c r="D120" s="43"/>
      <c r="E120" s="43"/>
      <c r="F120" s="43"/>
      <c r="G120" s="44"/>
      <c r="H120" s="43"/>
      <c r="I120" s="84"/>
      <c r="J120" s="84"/>
      <c r="K120" s="28"/>
      <c r="L120" s="43"/>
      <c r="M120" s="46"/>
      <c r="N120" s="43"/>
      <c r="O120" s="43"/>
      <c r="S120" s="43"/>
    </row>
    <row r="121" spans="1:22" x14ac:dyDescent="0.25">
      <c r="A121" s="46"/>
      <c r="B121" s="29"/>
      <c r="C121" s="29"/>
      <c r="D121" s="43"/>
      <c r="E121" s="43"/>
      <c r="F121" s="43"/>
      <c r="G121" s="43"/>
      <c r="H121" s="43"/>
      <c r="I121" s="54"/>
      <c r="J121" s="54"/>
      <c r="K121" s="27"/>
      <c r="L121" s="43"/>
      <c r="M121" s="46"/>
      <c r="N121" s="43"/>
      <c r="O121" s="43"/>
      <c r="Q121" s="43"/>
      <c r="R121" s="43"/>
      <c r="S121" s="43"/>
      <c r="T121" s="43"/>
    </row>
    <row r="122" spans="1:22" x14ac:dyDescent="0.25">
      <c r="A122" s="46"/>
      <c r="B122" s="29"/>
      <c r="C122" s="29"/>
      <c r="D122" s="43"/>
      <c r="E122" s="43"/>
      <c r="F122" s="43"/>
      <c r="G122" s="43"/>
      <c r="H122" s="43"/>
      <c r="I122" s="54"/>
      <c r="J122" s="54"/>
      <c r="K122" s="27"/>
      <c r="L122" s="43"/>
      <c r="M122" s="46"/>
      <c r="N122" s="43"/>
      <c r="O122" s="43"/>
      <c r="P122" s="43"/>
      <c r="S122" s="43"/>
      <c r="V122" s="43"/>
    </row>
    <row r="123" spans="1:22" x14ac:dyDescent="0.25">
      <c r="A123" s="46"/>
      <c r="B123" s="29"/>
      <c r="C123" s="29"/>
      <c r="D123" s="43"/>
      <c r="E123" s="43"/>
      <c r="F123" s="43"/>
      <c r="G123" s="43"/>
      <c r="H123" s="43"/>
      <c r="I123" s="54"/>
      <c r="J123" s="54"/>
      <c r="K123" s="27"/>
      <c r="L123" s="43"/>
      <c r="M123" s="46"/>
      <c r="N123" s="43"/>
      <c r="O123" s="43"/>
      <c r="P123" s="43"/>
      <c r="Q123" s="43"/>
      <c r="S123" s="43"/>
      <c r="T123" s="43"/>
      <c r="V123" s="43"/>
    </row>
    <row r="124" spans="1:22" x14ac:dyDescent="0.25">
      <c r="A124" s="46"/>
      <c r="B124" s="29"/>
      <c r="C124" s="29"/>
      <c r="D124" s="43"/>
      <c r="E124" s="43"/>
      <c r="F124" s="43"/>
      <c r="G124" s="43"/>
      <c r="H124" s="43"/>
      <c r="I124" s="54"/>
      <c r="J124" s="54"/>
      <c r="K124" s="27"/>
      <c r="L124" s="43"/>
      <c r="M124" s="46"/>
      <c r="N124" s="43"/>
      <c r="O124" s="43"/>
      <c r="P124" s="43"/>
      <c r="Q124" s="43"/>
      <c r="R124" s="43"/>
      <c r="S124" s="43"/>
      <c r="V124" s="43"/>
    </row>
    <row r="125" spans="1:22" x14ac:dyDescent="0.25">
      <c r="A125" s="46"/>
      <c r="B125" s="29"/>
      <c r="C125" s="29"/>
      <c r="D125" s="43"/>
      <c r="E125" s="43"/>
      <c r="F125" s="43"/>
      <c r="G125" s="43"/>
      <c r="H125" s="43"/>
      <c r="I125" s="54"/>
      <c r="J125" s="54"/>
      <c r="K125" s="27"/>
      <c r="L125" s="43"/>
      <c r="M125" s="46"/>
      <c r="N125" s="43"/>
      <c r="O125" s="43"/>
      <c r="Q125" s="43"/>
      <c r="R125" s="43"/>
      <c r="S125" s="43"/>
      <c r="T125" s="43"/>
    </row>
    <row r="126" spans="1:22" x14ac:dyDescent="0.25">
      <c r="A126" s="46"/>
      <c r="B126" s="29"/>
      <c r="C126" s="29"/>
      <c r="D126" s="43"/>
      <c r="E126" s="43"/>
      <c r="F126" s="43"/>
      <c r="H126" s="43"/>
      <c r="I126" s="82"/>
      <c r="J126" s="82"/>
      <c r="K126" s="27"/>
      <c r="L126" s="43"/>
      <c r="M126" s="46"/>
      <c r="N126" s="43"/>
      <c r="O126" s="43"/>
      <c r="P126" s="43"/>
      <c r="Q126" s="43"/>
      <c r="R126" s="43"/>
      <c r="S126" s="43"/>
    </row>
    <row r="127" spans="1:22" x14ac:dyDescent="0.25">
      <c r="A127" s="46"/>
      <c r="B127" s="29"/>
      <c r="C127" s="29"/>
      <c r="D127" s="43"/>
      <c r="E127" s="43"/>
      <c r="F127" s="43"/>
      <c r="G127" s="43"/>
      <c r="H127" s="43"/>
      <c r="I127" s="54"/>
      <c r="J127" s="54"/>
      <c r="K127" s="27"/>
      <c r="L127" s="43"/>
      <c r="M127" s="46"/>
      <c r="N127" s="43"/>
      <c r="O127" s="43"/>
      <c r="P127" s="43"/>
      <c r="Q127" s="43"/>
      <c r="S127" s="43"/>
    </row>
    <row r="128" spans="1:22" x14ac:dyDescent="0.25">
      <c r="A128" s="46"/>
      <c r="B128" s="29"/>
      <c r="C128" s="29"/>
      <c r="D128" s="43"/>
      <c r="E128" s="43"/>
      <c r="F128" s="43"/>
      <c r="G128" s="43"/>
      <c r="H128" s="43"/>
      <c r="I128" s="54"/>
      <c r="J128" s="54"/>
      <c r="K128" s="27"/>
      <c r="L128" s="43"/>
      <c r="M128" s="46"/>
      <c r="N128" s="43"/>
      <c r="O128" s="43"/>
      <c r="Q128" s="43"/>
      <c r="S128" s="43"/>
    </row>
    <row r="129" spans="1:22" x14ac:dyDescent="0.25">
      <c r="A129" s="46"/>
      <c r="B129" s="29"/>
      <c r="C129" s="29"/>
      <c r="D129" s="43"/>
      <c r="E129" s="43"/>
      <c r="F129" s="43"/>
      <c r="G129" s="43"/>
      <c r="H129" s="43"/>
      <c r="I129" s="54"/>
      <c r="J129" s="54"/>
      <c r="K129" s="27"/>
      <c r="L129" s="43"/>
      <c r="M129" s="46"/>
      <c r="N129" s="43"/>
      <c r="O129" s="43"/>
      <c r="Q129" s="43"/>
      <c r="S129" s="43"/>
    </row>
    <row r="130" spans="1:22" x14ac:dyDescent="0.25">
      <c r="A130" s="46"/>
      <c r="B130" s="29"/>
      <c r="C130" s="29"/>
      <c r="D130" s="43"/>
      <c r="E130" s="43"/>
      <c r="F130" s="43"/>
      <c r="H130" s="43"/>
      <c r="I130" s="82"/>
      <c r="J130" s="82"/>
      <c r="K130" s="27"/>
      <c r="L130" s="43"/>
      <c r="M130" s="46"/>
      <c r="N130" s="43"/>
      <c r="O130" s="43"/>
      <c r="P130" s="43"/>
      <c r="Q130" s="43"/>
      <c r="R130" s="43"/>
      <c r="S130" s="43"/>
    </row>
    <row r="131" spans="1:22" x14ac:dyDescent="0.25">
      <c r="A131" s="46"/>
      <c r="B131" s="29"/>
      <c r="C131" s="29"/>
      <c r="D131" s="43"/>
      <c r="E131" s="43"/>
      <c r="F131" s="43"/>
      <c r="G131" s="43"/>
      <c r="H131" s="43"/>
      <c r="I131" s="54"/>
      <c r="J131" s="54"/>
      <c r="K131" s="27"/>
      <c r="L131" s="43"/>
      <c r="M131" s="46"/>
      <c r="N131" s="43"/>
      <c r="O131" s="43"/>
      <c r="Q131" s="43"/>
      <c r="R131" s="43"/>
      <c r="S131" s="43"/>
      <c r="T131" s="43"/>
    </row>
    <row r="132" spans="1:22" x14ac:dyDescent="0.25">
      <c r="A132" s="46"/>
      <c r="B132" s="29"/>
      <c r="C132" s="29"/>
      <c r="D132" s="43"/>
      <c r="E132" s="43"/>
      <c r="F132" s="43"/>
      <c r="G132" s="43"/>
      <c r="H132" s="43"/>
      <c r="I132" s="54"/>
      <c r="J132" s="54"/>
      <c r="K132" s="27"/>
      <c r="L132" s="43"/>
      <c r="M132" s="46"/>
      <c r="N132" s="43"/>
      <c r="O132" s="43"/>
      <c r="Q132" s="43"/>
      <c r="S132" s="43"/>
    </row>
    <row r="133" spans="1:22" x14ac:dyDescent="0.25">
      <c r="A133" s="46"/>
      <c r="B133" s="29"/>
      <c r="C133" s="29"/>
      <c r="D133" s="43"/>
      <c r="E133" s="43"/>
      <c r="F133" s="43"/>
      <c r="G133" s="43"/>
      <c r="H133" s="43"/>
      <c r="I133" s="54"/>
      <c r="J133" s="54"/>
      <c r="K133" s="27"/>
      <c r="L133" s="43"/>
      <c r="M133" s="46"/>
      <c r="N133" s="43"/>
      <c r="O133" s="43"/>
      <c r="Q133" s="43"/>
      <c r="S133" s="43"/>
    </row>
    <row r="134" spans="1:22" x14ac:dyDescent="0.25">
      <c r="A134" s="46"/>
      <c r="B134" s="29"/>
      <c r="C134" s="29"/>
      <c r="D134" s="43"/>
      <c r="E134" s="43"/>
      <c r="F134" s="43"/>
      <c r="H134" s="43"/>
      <c r="I134" s="82"/>
      <c r="J134" s="82"/>
      <c r="K134" s="27"/>
      <c r="L134" s="43"/>
      <c r="M134" s="46"/>
      <c r="N134" s="43"/>
      <c r="O134" s="43"/>
      <c r="P134" s="43"/>
      <c r="Q134" s="43"/>
      <c r="R134" s="43"/>
      <c r="S134" s="43"/>
      <c r="V134" s="43"/>
    </row>
    <row r="135" spans="1:22" x14ac:dyDescent="0.25">
      <c r="A135" s="46"/>
      <c r="B135" s="29"/>
      <c r="C135" s="29"/>
      <c r="D135" s="43"/>
      <c r="E135" s="43"/>
      <c r="F135" s="43"/>
      <c r="G135" s="43"/>
      <c r="H135" s="43"/>
      <c r="I135" s="54"/>
      <c r="J135" s="54"/>
      <c r="K135" s="27"/>
      <c r="L135" s="43"/>
      <c r="M135" s="46"/>
      <c r="N135" s="43"/>
      <c r="O135" s="43"/>
      <c r="P135" s="43"/>
      <c r="Q135" s="43"/>
      <c r="R135" s="43"/>
      <c r="S135" s="43"/>
    </row>
    <row r="136" spans="1:22" x14ac:dyDescent="0.25">
      <c r="A136" s="46"/>
      <c r="B136" s="29"/>
      <c r="C136" s="29"/>
      <c r="D136" s="43"/>
      <c r="E136" s="43"/>
      <c r="F136" s="43"/>
      <c r="G136" s="44"/>
      <c r="H136" s="43"/>
      <c r="I136" s="84"/>
      <c r="J136" s="84"/>
      <c r="K136" s="28"/>
      <c r="L136" s="43"/>
      <c r="M136" s="46"/>
      <c r="N136" s="43"/>
      <c r="O136" s="43"/>
      <c r="P136" s="43"/>
      <c r="Q136" s="43"/>
      <c r="S136" s="43"/>
      <c r="T136" s="43"/>
      <c r="V136" s="43"/>
    </row>
    <row r="137" spans="1:22" x14ac:dyDescent="0.25">
      <c r="A137" s="46"/>
      <c r="B137" s="29"/>
      <c r="C137" s="29"/>
      <c r="D137" s="43"/>
      <c r="E137" s="43"/>
      <c r="F137" s="43"/>
      <c r="G137" s="44"/>
      <c r="H137" s="43"/>
      <c r="I137" s="84"/>
      <c r="J137" s="84"/>
      <c r="K137" s="28"/>
      <c r="L137" s="43"/>
      <c r="M137" s="46"/>
      <c r="N137" s="43"/>
      <c r="O137" s="43"/>
      <c r="P137" s="43"/>
      <c r="Q137" s="43"/>
      <c r="S137" s="43"/>
      <c r="T137" s="43"/>
      <c r="V137" s="43"/>
    </row>
    <row r="138" spans="1:22" x14ac:dyDescent="0.25">
      <c r="A138" s="46"/>
      <c r="B138" s="29"/>
      <c r="C138" s="29"/>
      <c r="D138" s="43"/>
      <c r="E138" s="43"/>
      <c r="F138" s="43"/>
      <c r="G138" s="43"/>
      <c r="H138" s="43"/>
      <c r="I138" s="54"/>
      <c r="J138" s="54"/>
      <c r="K138" s="27"/>
      <c r="L138" s="43"/>
      <c r="M138" s="46"/>
      <c r="N138" s="43"/>
      <c r="O138" s="43"/>
      <c r="S138" s="43"/>
    </row>
    <row r="139" spans="1:22" x14ac:dyDescent="0.25">
      <c r="A139" s="46"/>
      <c r="B139" s="29"/>
      <c r="C139" s="29"/>
      <c r="D139" s="43"/>
      <c r="E139" s="43"/>
      <c r="F139" s="43"/>
      <c r="G139" s="43"/>
      <c r="H139" s="43"/>
      <c r="I139" s="54"/>
      <c r="J139" s="54"/>
      <c r="K139" s="27"/>
      <c r="L139" s="43"/>
      <c r="M139" s="46"/>
      <c r="N139" s="43"/>
      <c r="O139" s="43"/>
      <c r="P139" s="43"/>
      <c r="S139" s="43"/>
    </row>
    <row r="140" spans="1:22" x14ac:dyDescent="0.25">
      <c r="A140" s="46"/>
      <c r="B140" s="29"/>
      <c r="C140" s="29"/>
      <c r="D140" s="43"/>
      <c r="E140" s="43"/>
      <c r="F140" s="43"/>
      <c r="G140" s="43"/>
      <c r="H140" s="43"/>
      <c r="I140" s="54"/>
      <c r="J140" s="54"/>
      <c r="K140" s="27"/>
      <c r="L140" s="43"/>
      <c r="M140" s="46"/>
      <c r="N140" s="43"/>
      <c r="O140" s="43"/>
      <c r="S140" s="43"/>
    </row>
    <row r="141" spans="1:22" x14ac:dyDescent="0.25">
      <c r="A141" s="46"/>
      <c r="B141" s="29"/>
      <c r="C141" s="29"/>
      <c r="D141" s="43"/>
      <c r="E141" s="43"/>
      <c r="F141" s="43"/>
      <c r="G141" s="43"/>
      <c r="H141" s="43"/>
      <c r="I141" s="54"/>
      <c r="J141" s="54"/>
      <c r="K141" s="27"/>
      <c r="L141" s="43"/>
      <c r="M141" s="46"/>
      <c r="N141" s="43"/>
      <c r="O141" s="43"/>
      <c r="Q141" s="43"/>
      <c r="R141" s="43"/>
      <c r="S141" s="43"/>
      <c r="T141" s="43"/>
    </row>
    <row r="142" spans="1:22" x14ac:dyDescent="0.25">
      <c r="A142" s="46"/>
      <c r="B142" s="29"/>
      <c r="C142" s="29"/>
      <c r="D142" s="43"/>
      <c r="E142" s="43"/>
      <c r="F142" s="43"/>
      <c r="G142" s="43"/>
      <c r="H142" s="43"/>
      <c r="I142" s="54"/>
      <c r="J142" s="54"/>
      <c r="K142" s="27"/>
      <c r="L142" s="43"/>
      <c r="M142" s="46"/>
      <c r="N142" s="43"/>
      <c r="O142" s="43"/>
      <c r="Q142" s="43"/>
      <c r="R142" s="43"/>
      <c r="S142" s="43"/>
      <c r="T142" s="43"/>
    </row>
    <row r="143" spans="1:22" x14ac:dyDescent="0.25">
      <c r="A143" s="46"/>
      <c r="B143" s="29"/>
      <c r="C143" s="29"/>
      <c r="D143" s="43"/>
      <c r="E143" s="43"/>
      <c r="F143" s="43"/>
      <c r="G143" s="43"/>
      <c r="H143" s="43"/>
      <c r="I143" s="54"/>
      <c r="J143" s="54"/>
      <c r="K143" s="27"/>
      <c r="L143" s="43"/>
      <c r="M143" s="46"/>
      <c r="N143" s="43"/>
      <c r="O143" s="43"/>
      <c r="Q143" s="43"/>
      <c r="R143" s="43"/>
      <c r="S143" s="43"/>
      <c r="T143" s="43"/>
    </row>
    <row r="144" spans="1:22" x14ac:dyDescent="0.25">
      <c r="A144" s="46"/>
      <c r="B144" s="29"/>
      <c r="C144" s="29"/>
      <c r="D144" s="43"/>
      <c r="E144" s="43"/>
      <c r="F144" s="43"/>
      <c r="G144" s="43"/>
      <c r="H144" s="43"/>
      <c r="I144" s="54"/>
      <c r="J144" s="54"/>
      <c r="K144" s="27"/>
      <c r="L144" s="43"/>
      <c r="M144" s="46"/>
      <c r="N144" s="43"/>
      <c r="O144" s="43"/>
      <c r="P144" s="43"/>
      <c r="Q144" s="43"/>
      <c r="S144" s="43"/>
    </row>
    <row r="145" spans="1:23" x14ac:dyDescent="0.25">
      <c r="A145" s="46"/>
      <c r="B145" s="29"/>
      <c r="C145" s="29"/>
      <c r="D145" s="43"/>
      <c r="E145" s="43"/>
      <c r="F145" s="43"/>
      <c r="G145" s="43"/>
      <c r="H145" s="43"/>
      <c r="I145" s="54"/>
      <c r="J145" s="54"/>
      <c r="K145" s="27"/>
      <c r="L145" s="43"/>
      <c r="M145" s="46"/>
      <c r="N145" s="43"/>
      <c r="O145" s="43"/>
      <c r="P145" s="43"/>
      <c r="Q145" s="43"/>
      <c r="S145" s="43"/>
    </row>
    <row r="146" spans="1:23" x14ac:dyDescent="0.25">
      <c r="B146" s="29"/>
      <c r="C146" s="29"/>
      <c r="I146" s="86"/>
      <c r="J146" s="86"/>
      <c r="K146" s="62"/>
      <c r="M146" s="62"/>
    </row>
    <row r="147" spans="1:23" x14ac:dyDescent="0.25">
      <c r="B147" s="29"/>
      <c r="C147" s="29"/>
      <c r="J147" s="87"/>
      <c r="K147" s="65"/>
      <c r="V147" s="66"/>
      <c r="W147" s="62"/>
    </row>
    <row r="148" spans="1:23" x14ac:dyDescent="0.25">
      <c r="B148" s="29"/>
      <c r="C148" s="29"/>
      <c r="S148" s="62"/>
      <c r="T148" s="62"/>
      <c r="U148" s="62"/>
      <c r="W148" s="62"/>
    </row>
    <row r="149" spans="1:23" x14ac:dyDescent="0.25">
      <c r="A149" s="89"/>
      <c r="B149" s="29"/>
      <c r="C149" s="29"/>
    </row>
    <row r="150" spans="1:23" x14ac:dyDescent="0.25">
      <c r="B150" s="29"/>
      <c r="C150" s="29"/>
    </row>
    <row r="151" spans="1:23" x14ac:dyDescent="0.25">
      <c r="B151" s="29"/>
      <c r="C151" s="29"/>
    </row>
    <row r="152" spans="1:23" x14ac:dyDescent="0.25">
      <c r="B152" s="29"/>
      <c r="C152" s="29"/>
    </row>
    <row r="153" spans="1:23" x14ac:dyDescent="0.25">
      <c r="B153" s="29"/>
      <c r="C153" s="29"/>
    </row>
    <row r="154" spans="1:23" x14ac:dyDescent="0.25">
      <c r="B154" s="29"/>
      <c r="C154" s="29"/>
    </row>
    <row r="155" spans="1:23" x14ac:dyDescent="0.25">
      <c r="B155" s="40"/>
      <c r="C155" s="40"/>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sheetViews>
  <sheetFormatPr defaultRowHeight="15" x14ac:dyDescent="0.25"/>
  <cols>
    <col min="1" max="1" width="9.140625" style="105"/>
    <col min="2" max="2" width="14.28515625" style="11" customWidth="1"/>
    <col min="3" max="3" width="15.7109375" style="11" customWidth="1"/>
    <col min="4" max="4" width="38.5703125" customWidth="1"/>
    <col min="5" max="5" width="14.28515625" style="2" customWidth="1"/>
    <col min="6" max="6" width="14.85546875" customWidth="1"/>
    <col min="7" max="7" width="11.42578125" customWidth="1"/>
    <col min="8" max="8" width="15.140625" customWidth="1"/>
    <col min="9" max="9" width="18.7109375" style="34" customWidth="1"/>
    <col min="10" max="10" width="74.28515625" style="107" customWidth="1"/>
  </cols>
  <sheetData>
    <row r="1" spans="1:10" s="1" customFormat="1" ht="90" x14ac:dyDescent="0.25">
      <c r="A1" s="1" t="s">
        <v>0</v>
      </c>
      <c r="B1" s="48" t="s">
        <v>263</v>
      </c>
      <c r="C1" s="48" t="s">
        <v>264</v>
      </c>
      <c r="D1" s="1" t="s">
        <v>1</v>
      </c>
      <c r="E1" s="1" t="s">
        <v>5</v>
      </c>
      <c r="F1" s="1" t="s">
        <v>3</v>
      </c>
      <c r="G1" s="1" t="s">
        <v>2</v>
      </c>
      <c r="H1" s="48" t="s">
        <v>267</v>
      </c>
      <c r="I1" s="1" t="s">
        <v>4</v>
      </c>
      <c r="J1" s="1" t="s">
        <v>7</v>
      </c>
    </row>
    <row r="2" spans="1:10" ht="30" x14ac:dyDescent="0.25">
      <c r="A2" s="105" t="s">
        <v>31</v>
      </c>
      <c r="B2" s="77" t="s">
        <v>1319</v>
      </c>
      <c r="C2" s="77" t="s">
        <v>1318</v>
      </c>
      <c r="D2" t="s">
        <v>1336</v>
      </c>
      <c r="E2" s="2" t="s">
        <v>249</v>
      </c>
      <c r="F2" s="15" t="s">
        <v>249</v>
      </c>
      <c r="G2" s="2">
        <v>1969</v>
      </c>
      <c r="H2" s="2"/>
      <c r="I2" s="33" t="s">
        <v>290</v>
      </c>
      <c r="J2" s="107" t="s">
        <v>32</v>
      </c>
    </row>
    <row r="3" spans="1:10" s="9" customFormat="1" ht="30" x14ac:dyDescent="0.25">
      <c r="A3" s="15" t="s">
        <v>31</v>
      </c>
      <c r="B3" s="77" t="s">
        <v>1319</v>
      </c>
      <c r="C3" s="77" t="s">
        <v>1318</v>
      </c>
      <c r="D3" s="9" t="s">
        <v>1335</v>
      </c>
      <c r="E3" s="15" t="s">
        <v>249</v>
      </c>
      <c r="F3" s="15" t="s">
        <v>249</v>
      </c>
      <c r="G3" s="9" t="s">
        <v>75</v>
      </c>
      <c r="I3" s="9" t="s">
        <v>69</v>
      </c>
      <c r="J3" s="108"/>
    </row>
    <row r="4" spans="1:10" ht="30" x14ac:dyDescent="0.25">
      <c r="A4" s="105" t="s">
        <v>31</v>
      </c>
      <c r="B4" s="42" t="s">
        <v>1319</v>
      </c>
      <c r="C4" s="77" t="s">
        <v>1319</v>
      </c>
      <c r="D4" t="s">
        <v>1337</v>
      </c>
      <c r="E4" s="2">
        <v>800</v>
      </c>
      <c r="F4" s="72">
        <f>E4/5280</f>
        <v>0.15151515151515152</v>
      </c>
      <c r="G4" s="2">
        <v>1964</v>
      </c>
      <c r="H4" s="2"/>
      <c r="I4" s="33" t="s">
        <v>290</v>
      </c>
      <c r="J4" s="107" t="s">
        <v>33</v>
      </c>
    </row>
    <row r="5" spans="1:10" ht="30" x14ac:dyDescent="0.25">
      <c r="A5" s="105" t="s">
        <v>31</v>
      </c>
      <c r="B5" s="42" t="s">
        <v>1319</v>
      </c>
      <c r="C5" s="77" t="s">
        <v>1319</v>
      </c>
      <c r="D5" t="s">
        <v>407</v>
      </c>
      <c r="E5" s="2" t="s">
        <v>249</v>
      </c>
      <c r="F5" s="15" t="s">
        <v>249</v>
      </c>
      <c r="G5" s="2" t="s">
        <v>75</v>
      </c>
      <c r="H5" s="2"/>
      <c r="I5" s="33" t="s">
        <v>69</v>
      </c>
    </row>
    <row r="6" spans="1:10" ht="60" x14ac:dyDescent="0.25">
      <c r="A6" s="105" t="s">
        <v>31</v>
      </c>
      <c r="B6" s="42" t="s">
        <v>1319</v>
      </c>
      <c r="C6" s="77" t="s">
        <v>1320</v>
      </c>
      <c r="D6" t="s">
        <v>1338</v>
      </c>
      <c r="E6" s="2" t="s">
        <v>249</v>
      </c>
      <c r="F6" s="15" t="s">
        <v>249</v>
      </c>
      <c r="G6" s="2">
        <v>1967</v>
      </c>
      <c r="H6" s="2"/>
      <c r="I6" s="33" t="s">
        <v>290</v>
      </c>
      <c r="J6" s="107" t="s">
        <v>222</v>
      </c>
    </row>
    <row r="7" spans="1:10" s="104" customFormat="1" ht="135" x14ac:dyDescent="0.25">
      <c r="A7" s="105" t="s">
        <v>31</v>
      </c>
      <c r="B7" s="78" t="s">
        <v>1319</v>
      </c>
      <c r="C7" s="57" t="s">
        <v>1369</v>
      </c>
      <c r="D7" s="77" t="s">
        <v>1366</v>
      </c>
      <c r="E7" s="247">
        <v>2585</v>
      </c>
      <c r="F7" s="132">
        <f>E7/5280</f>
        <v>0.48958333333333331</v>
      </c>
      <c r="G7" s="105" t="s">
        <v>476</v>
      </c>
      <c r="H7" s="105"/>
      <c r="I7" s="77" t="s">
        <v>1367</v>
      </c>
      <c r="J7" s="77" t="s">
        <v>1368</v>
      </c>
    </row>
    <row r="8" spans="1:10" s="142" customFormat="1" ht="45" x14ac:dyDescent="0.25">
      <c r="A8" s="254" t="s">
        <v>31</v>
      </c>
      <c r="B8" s="142" t="s">
        <v>1319</v>
      </c>
      <c r="C8" s="144" t="s">
        <v>1369</v>
      </c>
      <c r="D8" s="144" t="s">
        <v>1370</v>
      </c>
      <c r="E8" s="139">
        <v>1115</v>
      </c>
      <c r="F8" s="140">
        <f>E8/5280</f>
        <v>0.21117424242424243</v>
      </c>
      <c r="G8" s="254" t="s">
        <v>154</v>
      </c>
      <c r="H8" s="254"/>
      <c r="I8" s="142" t="s">
        <v>1371</v>
      </c>
      <c r="J8" s="144" t="s">
        <v>1372</v>
      </c>
    </row>
    <row r="9" spans="1:10" s="11" customFormat="1" ht="30" x14ac:dyDescent="0.25">
      <c r="A9" s="10" t="s">
        <v>31</v>
      </c>
      <c r="B9" s="78" t="s">
        <v>1319</v>
      </c>
      <c r="C9" s="78" t="s">
        <v>1321</v>
      </c>
      <c r="D9" s="78" t="s">
        <v>1373</v>
      </c>
      <c r="E9" s="247">
        <v>240</v>
      </c>
      <c r="F9" s="132">
        <f>E9/5280</f>
        <v>4.5454545454545456E-2</v>
      </c>
      <c r="G9" s="10">
        <v>2013</v>
      </c>
      <c r="H9" s="10"/>
      <c r="I9" s="77" t="s">
        <v>1280</v>
      </c>
      <c r="J9" s="77" t="s">
        <v>1374</v>
      </c>
    </row>
    <row r="10" spans="1:10" ht="30" x14ac:dyDescent="0.25">
      <c r="A10" s="105" t="s">
        <v>31</v>
      </c>
      <c r="B10" s="29" t="s">
        <v>1319</v>
      </c>
      <c r="C10" s="77" t="s">
        <v>1321</v>
      </c>
      <c r="D10" t="s">
        <v>1339</v>
      </c>
      <c r="E10" s="2">
        <v>950</v>
      </c>
      <c r="F10" s="72">
        <f t="shared" ref="F10:F49" si="0">E10/5280</f>
        <v>0.17992424242424243</v>
      </c>
      <c r="G10" s="67">
        <v>1965</v>
      </c>
      <c r="H10" s="2"/>
      <c r="I10" s="33" t="s">
        <v>290</v>
      </c>
      <c r="J10" s="112" t="s">
        <v>34</v>
      </c>
    </row>
    <row r="11" spans="1:10" s="104" customFormat="1" x14ac:dyDescent="0.25">
      <c r="A11" s="105" t="s">
        <v>31</v>
      </c>
      <c r="B11" s="78" t="s">
        <v>1319</v>
      </c>
      <c r="C11" s="78" t="s">
        <v>1321</v>
      </c>
      <c r="D11" s="77" t="s">
        <v>1375</v>
      </c>
      <c r="E11" s="247">
        <v>332</v>
      </c>
      <c r="F11" s="132">
        <f>E11/5280</f>
        <v>6.2878787878787881E-2</v>
      </c>
      <c r="G11" s="67">
        <v>2013</v>
      </c>
      <c r="H11" s="105"/>
      <c r="I11" s="77" t="s">
        <v>1280</v>
      </c>
      <c r="J11" s="77" t="s">
        <v>1376</v>
      </c>
    </row>
    <row r="12" spans="1:10" ht="30" x14ac:dyDescent="0.25">
      <c r="A12" s="105" t="s">
        <v>31</v>
      </c>
      <c r="B12" s="29" t="s">
        <v>1319</v>
      </c>
      <c r="C12" s="77" t="s">
        <v>1321</v>
      </c>
      <c r="D12" t="s">
        <v>1340</v>
      </c>
      <c r="E12" s="2">
        <v>1360</v>
      </c>
      <c r="F12" s="72">
        <f t="shared" si="0"/>
        <v>0.25757575757575757</v>
      </c>
      <c r="G12" s="2">
        <v>1957</v>
      </c>
      <c r="H12" s="105">
        <v>1967</v>
      </c>
      <c r="I12" s="33" t="s">
        <v>290</v>
      </c>
      <c r="J12" s="107" t="s">
        <v>35</v>
      </c>
    </row>
    <row r="13" spans="1:10" ht="30" x14ac:dyDescent="0.25">
      <c r="A13" s="105" t="s">
        <v>31</v>
      </c>
      <c r="B13" s="29" t="s">
        <v>1364</v>
      </c>
      <c r="C13" s="77" t="s">
        <v>1322</v>
      </c>
      <c r="D13" t="s">
        <v>1341</v>
      </c>
      <c r="E13" s="71">
        <v>1600</v>
      </c>
      <c r="F13" s="72">
        <f t="shared" si="0"/>
        <v>0.30303030303030304</v>
      </c>
      <c r="G13" s="2">
        <v>1961</v>
      </c>
      <c r="I13" s="33" t="s">
        <v>290</v>
      </c>
      <c r="J13" s="107" t="s">
        <v>36</v>
      </c>
    </row>
    <row r="14" spans="1:10" ht="30" x14ac:dyDescent="0.25">
      <c r="A14" s="105" t="s">
        <v>31</v>
      </c>
      <c r="B14" s="29" t="s">
        <v>1364</v>
      </c>
      <c r="C14" s="77" t="s">
        <v>1323</v>
      </c>
      <c r="D14" t="s">
        <v>1342</v>
      </c>
      <c r="E14" s="2" t="s">
        <v>249</v>
      </c>
      <c r="F14" s="15" t="s">
        <v>249</v>
      </c>
      <c r="G14" s="2">
        <v>1964</v>
      </c>
      <c r="I14" s="33" t="s">
        <v>290</v>
      </c>
      <c r="J14" s="107" t="s">
        <v>37</v>
      </c>
    </row>
    <row r="15" spans="1:10" ht="60" x14ac:dyDescent="0.25">
      <c r="A15" s="105" t="s">
        <v>31</v>
      </c>
      <c r="B15" s="29" t="s">
        <v>1364</v>
      </c>
      <c r="C15" s="77" t="s">
        <v>1323</v>
      </c>
      <c r="D15" t="s">
        <v>1343</v>
      </c>
      <c r="E15" s="2" t="s">
        <v>319</v>
      </c>
      <c r="F15" s="15" t="s">
        <v>319</v>
      </c>
      <c r="G15" s="2" t="s">
        <v>158</v>
      </c>
      <c r="H15" s="105" t="s">
        <v>1377</v>
      </c>
      <c r="I15" s="33" t="s">
        <v>1378</v>
      </c>
      <c r="J15" s="107" t="s">
        <v>1379</v>
      </c>
    </row>
    <row r="16" spans="1:10" s="104" customFormat="1" ht="75" x14ac:dyDescent="0.25">
      <c r="A16" s="105" t="s">
        <v>31</v>
      </c>
      <c r="B16" s="29" t="s">
        <v>1365</v>
      </c>
      <c r="C16" s="77" t="s">
        <v>1324</v>
      </c>
      <c r="D16" s="107" t="s">
        <v>1383</v>
      </c>
      <c r="E16" s="105" t="s">
        <v>249</v>
      </c>
      <c r="F16" s="15" t="s">
        <v>249</v>
      </c>
      <c r="G16" s="105">
        <v>2013</v>
      </c>
      <c r="H16" s="105"/>
      <c r="I16" s="106" t="s">
        <v>1384</v>
      </c>
      <c r="J16" s="107" t="s">
        <v>1385</v>
      </c>
    </row>
    <row r="17" spans="1:10" ht="75" x14ac:dyDescent="0.25">
      <c r="A17" s="105" t="s">
        <v>31</v>
      </c>
      <c r="B17" s="29" t="s">
        <v>1365</v>
      </c>
      <c r="C17" s="77" t="s">
        <v>1324</v>
      </c>
      <c r="D17" s="107" t="s">
        <v>1382</v>
      </c>
      <c r="E17" s="2">
        <v>10000</v>
      </c>
      <c r="F17" s="72">
        <f t="shared" si="0"/>
        <v>1.893939393939394</v>
      </c>
      <c r="G17" s="2">
        <v>1955</v>
      </c>
      <c r="I17" s="33" t="s">
        <v>288</v>
      </c>
      <c r="J17" s="107" t="s">
        <v>148</v>
      </c>
    </row>
    <row r="18" spans="1:10" s="142" customFormat="1" ht="105" x14ac:dyDescent="0.25">
      <c r="A18" s="254" t="s">
        <v>31</v>
      </c>
      <c r="B18" s="137" t="s">
        <v>1365</v>
      </c>
      <c r="C18" s="236" t="s">
        <v>1324</v>
      </c>
      <c r="D18" s="144" t="s">
        <v>1380</v>
      </c>
      <c r="E18" s="139">
        <v>5275</v>
      </c>
      <c r="F18" s="146" t="s">
        <v>853</v>
      </c>
      <c r="G18" s="254" t="s">
        <v>154</v>
      </c>
      <c r="I18" s="145"/>
      <c r="J18" s="144" t="s">
        <v>1381</v>
      </c>
    </row>
    <row r="19" spans="1:10" ht="60" x14ac:dyDescent="0.25">
      <c r="A19" s="105" t="s">
        <v>31</v>
      </c>
      <c r="B19" s="29" t="s">
        <v>1365</v>
      </c>
      <c r="C19" s="77" t="s">
        <v>1325</v>
      </c>
      <c r="D19" t="s">
        <v>1344</v>
      </c>
      <c r="E19" s="2">
        <v>400</v>
      </c>
      <c r="F19" s="72">
        <f t="shared" si="0"/>
        <v>7.575757575757576E-2</v>
      </c>
      <c r="G19" s="2">
        <v>1959</v>
      </c>
      <c r="I19" s="33" t="s">
        <v>145</v>
      </c>
      <c r="J19" s="107" t="s">
        <v>231</v>
      </c>
    </row>
    <row r="20" spans="1:10" ht="30" x14ac:dyDescent="0.25">
      <c r="A20" s="105" t="s">
        <v>31</v>
      </c>
      <c r="B20" s="29" t="s">
        <v>1365</v>
      </c>
      <c r="C20" s="77" t="s">
        <v>1325</v>
      </c>
      <c r="D20" t="s">
        <v>1345</v>
      </c>
      <c r="E20" s="2" t="s">
        <v>249</v>
      </c>
      <c r="F20" s="15" t="s">
        <v>249</v>
      </c>
      <c r="G20" s="67" t="s">
        <v>75</v>
      </c>
      <c r="I20" s="33" t="s">
        <v>290</v>
      </c>
      <c r="J20" s="107" t="s">
        <v>223</v>
      </c>
    </row>
    <row r="21" spans="1:10" ht="30" x14ac:dyDescent="0.25">
      <c r="A21" s="105" t="s">
        <v>31</v>
      </c>
      <c r="B21" s="29" t="s">
        <v>1365</v>
      </c>
      <c r="C21" s="77" t="s">
        <v>1326</v>
      </c>
      <c r="D21" t="s">
        <v>1346</v>
      </c>
      <c r="E21" s="2">
        <v>300</v>
      </c>
      <c r="F21" s="72" t="s">
        <v>319</v>
      </c>
      <c r="G21" s="2">
        <v>1963</v>
      </c>
      <c r="I21" s="33" t="s">
        <v>290</v>
      </c>
      <c r="J21" s="107" t="s">
        <v>1402</v>
      </c>
    </row>
    <row r="22" spans="1:10" ht="30" x14ac:dyDescent="0.25">
      <c r="A22" s="105" t="s">
        <v>31</v>
      </c>
      <c r="B22" s="29" t="s">
        <v>1365</v>
      </c>
      <c r="C22" s="77" t="s">
        <v>1327</v>
      </c>
      <c r="D22" t="s">
        <v>1347</v>
      </c>
      <c r="E22" s="2">
        <v>2550</v>
      </c>
      <c r="F22" s="72">
        <f t="shared" si="0"/>
        <v>0.48295454545454547</v>
      </c>
      <c r="G22" s="2">
        <v>1958</v>
      </c>
      <c r="I22" s="33" t="s">
        <v>290</v>
      </c>
      <c r="J22" s="107" t="s">
        <v>38</v>
      </c>
    </row>
    <row r="23" spans="1:10" ht="30" x14ac:dyDescent="0.25">
      <c r="A23" s="105" t="s">
        <v>31</v>
      </c>
      <c r="B23" s="29" t="s">
        <v>1365</v>
      </c>
      <c r="C23" s="77" t="s">
        <v>1328</v>
      </c>
      <c r="D23" t="s">
        <v>1348</v>
      </c>
      <c r="E23" s="2" t="s">
        <v>249</v>
      </c>
      <c r="F23" s="15" t="s">
        <v>249</v>
      </c>
      <c r="G23" s="2" t="s">
        <v>75</v>
      </c>
      <c r="I23" s="33" t="s">
        <v>69</v>
      </c>
    </row>
    <row r="24" spans="1:10" ht="60" x14ac:dyDescent="0.25">
      <c r="A24" s="105" t="s">
        <v>31</v>
      </c>
      <c r="B24" s="29" t="s">
        <v>1365</v>
      </c>
      <c r="C24" s="77" t="s">
        <v>1328</v>
      </c>
      <c r="D24" t="s">
        <v>1349</v>
      </c>
      <c r="E24" s="2">
        <v>1000</v>
      </c>
      <c r="F24" s="72">
        <f t="shared" si="0"/>
        <v>0.18939393939393939</v>
      </c>
      <c r="G24" s="2" t="s">
        <v>149</v>
      </c>
      <c r="I24" s="33" t="s">
        <v>145</v>
      </c>
      <c r="J24" s="107" t="s">
        <v>150</v>
      </c>
    </row>
    <row r="25" spans="1:10" ht="75" x14ac:dyDescent="0.25">
      <c r="A25" s="105" t="s">
        <v>31</v>
      </c>
      <c r="B25" s="29" t="s">
        <v>1365</v>
      </c>
      <c r="C25" s="77" t="s">
        <v>1328</v>
      </c>
      <c r="D25" t="s">
        <v>1350</v>
      </c>
      <c r="E25" s="2">
        <v>6470</v>
      </c>
      <c r="F25" s="72">
        <f>E25/5280</f>
        <v>1.2253787878787878</v>
      </c>
      <c r="G25" s="2">
        <v>1957</v>
      </c>
      <c r="H25" s="38" t="s">
        <v>1386</v>
      </c>
      <c r="I25" s="33" t="s">
        <v>288</v>
      </c>
      <c r="J25" s="107" t="s">
        <v>1387</v>
      </c>
    </row>
    <row r="26" spans="1:10" ht="135" x14ac:dyDescent="0.25">
      <c r="A26" s="105" t="s">
        <v>31</v>
      </c>
      <c r="B26" s="29" t="s">
        <v>1365</v>
      </c>
      <c r="C26" s="77" t="s">
        <v>1329</v>
      </c>
      <c r="D26" t="s">
        <v>1351</v>
      </c>
      <c r="E26" s="2">
        <v>4300</v>
      </c>
      <c r="F26" s="72">
        <f t="shared" si="0"/>
        <v>0.81439393939393945</v>
      </c>
      <c r="G26" s="2">
        <v>1959</v>
      </c>
      <c r="H26" s="38" t="s">
        <v>1403</v>
      </c>
      <c r="I26" s="33" t="s">
        <v>288</v>
      </c>
      <c r="J26" s="107" t="s">
        <v>1404</v>
      </c>
    </row>
    <row r="27" spans="1:10" ht="75" x14ac:dyDescent="0.25">
      <c r="A27" s="105" t="s">
        <v>31</v>
      </c>
      <c r="B27" s="29" t="s">
        <v>1365</v>
      </c>
      <c r="C27" s="77" t="s">
        <v>1329</v>
      </c>
      <c r="D27" t="s">
        <v>1352</v>
      </c>
      <c r="E27" s="2">
        <v>1235</v>
      </c>
      <c r="F27" s="72">
        <f t="shared" si="0"/>
        <v>0.23390151515151514</v>
      </c>
      <c r="G27" s="2">
        <v>1957</v>
      </c>
      <c r="H27" s="105">
        <v>1966</v>
      </c>
      <c r="I27" s="33" t="s">
        <v>288</v>
      </c>
      <c r="J27" s="107" t="s">
        <v>39</v>
      </c>
    </row>
    <row r="28" spans="1:10" s="142" customFormat="1" ht="90" x14ac:dyDescent="0.25">
      <c r="A28" s="254" t="s">
        <v>31</v>
      </c>
      <c r="B28" s="137" t="s">
        <v>1365</v>
      </c>
      <c r="C28" s="236" t="s">
        <v>1329</v>
      </c>
      <c r="D28" s="144" t="s">
        <v>1393</v>
      </c>
      <c r="E28" s="139">
        <v>15600</v>
      </c>
      <c r="F28" s="140">
        <f>(15600-8500)/5280</f>
        <v>1.3446969696969697</v>
      </c>
      <c r="G28" s="254" t="s">
        <v>154</v>
      </c>
      <c r="H28" s="254"/>
      <c r="I28" s="145" t="s">
        <v>288</v>
      </c>
      <c r="J28" s="144" t="s">
        <v>1394</v>
      </c>
    </row>
    <row r="29" spans="1:10" s="11" customFormat="1" ht="75" x14ac:dyDescent="0.25">
      <c r="A29" s="10" t="s">
        <v>31</v>
      </c>
      <c r="B29" s="29" t="s">
        <v>1365</v>
      </c>
      <c r="C29" s="77" t="s">
        <v>1329</v>
      </c>
      <c r="D29" s="57" t="s">
        <v>1397</v>
      </c>
      <c r="E29" s="242" t="s">
        <v>249</v>
      </c>
      <c r="F29" s="133" t="s">
        <v>853</v>
      </c>
      <c r="G29" s="10">
        <v>1960</v>
      </c>
      <c r="H29" s="10"/>
      <c r="I29" s="106" t="s">
        <v>288</v>
      </c>
      <c r="J29" s="107" t="s">
        <v>1398</v>
      </c>
    </row>
    <row r="30" spans="1:10" s="142" customFormat="1" ht="30" x14ac:dyDescent="0.25">
      <c r="A30" s="254" t="s">
        <v>31</v>
      </c>
      <c r="B30" s="142" t="s">
        <v>1365</v>
      </c>
      <c r="C30" s="244" t="s">
        <v>1329</v>
      </c>
      <c r="D30" s="142" t="s">
        <v>1388</v>
      </c>
      <c r="E30" s="139">
        <v>1750</v>
      </c>
      <c r="F30" s="140">
        <f>E32/5280</f>
        <v>0.40435606060606061</v>
      </c>
      <c r="G30" s="254" t="s">
        <v>154</v>
      </c>
      <c r="H30" s="254"/>
      <c r="I30" s="144" t="s">
        <v>1390</v>
      </c>
      <c r="J30" s="145" t="s">
        <v>1391</v>
      </c>
    </row>
    <row r="31" spans="1:10" s="11" customFormat="1" ht="75" x14ac:dyDescent="0.25">
      <c r="A31" s="10" t="s">
        <v>31</v>
      </c>
      <c r="B31" s="29" t="s">
        <v>1365</v>
      </c>
      <c r="C31" s="78" t="s">
        <v>1329</v>
      </c>
      <c r="D31" s="11" t="s">
        <v>1395</v>
      </c>
      <c r="E31" s="242">
        <v>4500</v>
      </c>
      <c r="F31" s="72">
        <f>E31/5280</f>
        <v>0.85227272727272729</v>
      </c>
      <c r="G31" s="10">
        <v>1960</v>
      </c>
      <c r="H31" s="10"/>
      <c r="I31" s="106" t="s">
        <v>288</v>
      </c>
      <c r="J31" s="107" t="s">
        <v>1398</v>
      </c>
    </row>
    <row r="32" spans="1:10" s="142" customFormat="1" ht="30" x14ac:dyDescent="0.25">
      <c r="A32" s="254" t="s">
        <v>31</v>
      </c>
      <c r="B32" s="142" t="s">
        <v>1365</v>
      </c>
      <c r="C32" s="244" t="s">
        <v>1329</v>
      </c>
      <c r="D32" s="142" t="s">
        <v>1389</v>
      </c>
      <c r="E32" s="139">
        <v>2135</v>
      </c>
      <c r="F32" s="140">
        <f>E32/5280</f>
        <v>0.40435606060606061</v>
      </c>
      <c r="G32" s="254" t="s">
        <v>154</v>
      </c>
      <c r="H32" s="254"/>
      <c r="I32" s="144" t="s">
        <v>1390</v>
      </c>
      <c r="J32" s="145" t="s">
        <v>1392</v>
      </c>
    </row>
    <row r="33" spans="1:10" ht="90" x14ac:dyDescent="0.25">
      <c r="A33" s="105" t="s">
        <v>31</v>
      </c>
      <c r="B33" s="29" t="s">
        <v>1365</v>
      </c>
      <c r="C33" s="77" t="s">
        <v>1329</v>
      </c>
      <c r="D33" t="s">
        <v>1353</v>
      </c>
      <c r="E33" s="2">
        <v>2800</v>
      </c>
      <c r="F33" s="72">
        <f>E33/5280</f>
        <v>0.53030303030303028</v>
      </c>
      <c r="G33" s="10">
        <v>1960</v>
      </c>
      <c r="H33" s="2">
        <v>1965</v>
      </c>
      <c r="I33" s="33" t="s">
        <v>290</v>
      </c>
      <c r="J33" s="107" t="s">
        <v>1396</v>
      </c>
    </row>
    <row r="34" spans="1:10" s="104" customFormat="1" ht="75" x14ac:dyDescent="0.25">
      <c r="A34" s="105" t="s">
        <v>31</v>
      </c>
      <c r="B34" s="29" t="s">
        <v>1365</v>
      </c>
      <c r="C34" s="77" t="s">
        <v>1329</v>
      </c>
      <c r="D34" s="104" t="s">
        <v>1399</v>
      </c>
      <c r="E34" s="16">
        <v>8500</v>
      </c>
      <c r="F34" s="72">
        <f>(E34-E33)/5280</f>
        <v>1.0795454545454546</v>
      </c>
      <c r="G34" s="10">
        <v>1955</v>
      </c>
      <c r="H34" s="105"/>
      <c r="I34" s="106" t="s">
        <v>288</v>
      </c>
      <c r="J34" s="107" t="s">
        <v>1398</v>
      </c>
    </row>
    <row r="35" spans="1:10" ht="90" x14ac:dyDescent="0.25">
      <c r="A35" s="105" t="s">
        <v>31</v>
      </c>
      <c r="B35" s="29" t="s">
        <v>1332</v>
      </c>
      <c r="C35" s="77" t="s">
        <v>1330</v>
      </c>
      <c r="D35" s="107" t="s">
        <v>1400</v>
      </c>
      <c r="E35" s="2">
        <v>3500</v>
      </c>
      <c r="F35" s="72">
        <f t="shared" si="0"/>
        <v>0.66287878787878785</v>
      </c>
      <c r="G35" s="2">
        <v>1955</v>
      </c>
      <c r="H35" s="13"/>
      <c r="I35" s="33" t="s">
        <v>295</v>
      </c>
      <c r="J35" s="107" t="s">
        <v>261</v>
      </c>
    </row>
    <row r="36" spans="1:10" ht="30" x14ac:dyDescent="0.25">
      <c r="A36" s="105" t="s">
        <v>31</v>
      </c>
      <c r="B36" s="29" t="s">
        <v>1332</v>
      </c>
      <c r="C36" s="77" t="s">
        <v>1330</v>
      </c>
      <c r="D36" t="s">
        <v>527</v>
      </c>
      <c r="E36" s="2" t="s">
        <v>249</v>
      </c>
      <c r="F36" s="15" t="s">
        <v>249</v>
      </c>
      <c r="G36" s="2">
        <v>1966</v>
      </c>
      <c r="I36" s="33" t="s">
        <v>290</v>
      </c>
      <c r="J36" s="107" t="s">
        <v>40</v>
      </c>
    </row>
    <row r="37" spans="1:10" ht="30" x14ac:dyDescent="0.25">
      <c r="A37" s="105" t="s">
        <v>31</v>
      </c>
      <c r="B37" s="29" t="s">
        <v>1332</v>
      </c>
      <c r="C37" s="77" t="s">
        <v>1331</v>
      </c>
      <c r="D37" t="s">
        <v>1354</v>
      </c>
      <c r="E37" s="2" t="s">
        <v>249</v>
      </c>
      <c r="F37" s="15" t="s">
        <v>249</v>
      </c>
      <c r="G37" s="2" t="s">
        <v>75</v>
      </c>
      <c r="I37" s="33" t="s">
        <v>69</v>
      </c>
    </row>
    <row r="38" spans="1:10" ht="90" x14ac:dyDescent="0.25">
      <c r="A38" s="105" t="s">
        <v>31</v>
      </c>
      <c r="B38" s="29" t="s">
        <v>1332</v>
      </c>
      <c r="C38" s="77" t="s">
        <v>1331</v>
      </c>
      <c r="D38" t="s">
        <v>1401</v>
      </c>
      <c r="E38" s="2">
        <v>8800</v>
      </c>
      <c r="F38" s="72">
        <f t="shared" si="0"/>
        <v>1.6666666666666667</v>
      </c>
      <c r="G38" s="2" t="s">
        <v>224</v>
      </c>
      <c r="I38" s="33" t="s">
        <v>296</v>
      </c>
      <c r="J38" s="107" t="s">
        <v>225</v>
      </c>
    </row>
    <row r="39" spans="1:10" ht="30" x14ac:dyDescent="0.25">
      <c r="A39" s="105" t="s">
        <v>31</v>
      </c>
      <c r="B39" s="29" t="s">
        <v>1332</v>
      </c>
      <c r="C39" s="77" t="s">
        <v>1332</v>
      </c>
      <c r="D39" t="s">
        <v>1355</v>
      </c>
      <c r="E39" s="2">
        <v>4400</v>
      </c>
      <c r="F39" s="72">
        <f t="shared" si="0"/>
        <v>0.83333333333333337</v>
      </c>
      <c r="G39" s="2">
        <v>1959</v>
      </c>
      <c r="I39" s="33" t="s">
        <v>290</v>
      </c>
      <c r="J39" s="107" t="s">
        <v>41</v>
      </c>
    </row>
    <row r="40" spans="1:10" ht="30" x14ac:dyDescent="0.25">
      <c r="A40" s="105" t="s">
        <v>31</v>
      </c>
      <c r="B40" s="29" t="s">
        <v>1332</v>
      </c>
      <c r="C40" s="77" t="s">
        <v>1332</v>
      </c>
      <c r="D40" t="s">
        <v>1356</v>
      </c>
      <c r="E40" s="2">
        <v>5600</v>
      </c>
      <c r="F40" s="72">
        <f t="shared" si="0"/>
        <v>1.0606060606060606</v>
      </c>
      <c r="G40" s="2">
        <v>1964</v>
      </c>
      <c r="I40" s="33" t="s">
        <v>290</v>
      </c>
      <c r="J40" s="107" t="s">
        <v>42</v>
      </c>
    </row>
    <row r="41" spans="1:10" ht="75" x14ac:dyDescent="0.25">
      <c r="A41" s="105" t="s">
        <v>31</v>
      </c>
      <c r="B41" s="29" t="s">
        <v>1332</v>
      </c>
      <c r="C41" s="77" t="s">
        <v>1332</v>
      </c>
      <c r="D41" t="s">
        <v>1357</v>
      </c>
      <c r="E41" s="2">
        <v>900</v>
      </c>
      <c r="F41" s="72">
        <f t="shared" si="0"/>
        <v>0.17045454545454544</v>
      </c>
      <c r="G41" s="2">
        <v>1958</v>
      </c>
      <c r="I41" s="33" t="s">
        <v>288</v>
      </c>
      <c r="J41" s="107" t="s">
        <v>226</v>
      </c>
    </row>
    <row r="42" spans="1:10" ht="75" x14ac:dyDescent="0.25">
      <c r="A42" s="105" t="s">
        <v>31</v>
      </c>
      <c r="B42" s="29" t="s">
        <v>1332</v>
      </c>
      <c r="C42" s="77" t="s">
        <v>1332</v>
      </c>
      <c r="D42" t="s">
        <v>1358</v>
      </c>
      <c r="E42" s="2">
        <v>700</v>
      </c>
      <c r="F42" s="72">
        <f t="shared" si="0"/>
        <v>0.13257575757575757</v>
      </c>
      <c r="G42" s="2">
        <v>1958</v>
      </c>
      <c r="I42" s="33" t="s">
        <v>288</v>
      </c>
      <c r="J42" s="107" t="s">
        <v>230</v>
      </c>
    </row>
    <row r="43" spans="1:10" ht="75" x14ac:dyDescent="0.25">
      <c r="A43" s="105" t="s">
        <v>31</v>
      </c>
      <c r="B43" s="29" t="s">
        <v>1332</v>
      </c>
      <c r="C43" s="77" t="s">
        <v>510</v>
      </c>
      <c r="D43" t="s">
        <v>1359</v>
      </c>
      <c r="E43" s="2">
        <v>500</v>
      </c>
      <c r="F43" s="72">
        <f t="shared" si="0"/>
        <v>9.4696969696969696E-2</v>
      </c>
      <c r="G43" s="2">
        <v>1957</v>
      </c>
      <c r="I43" s="33" t="s">
        <v>288</v>
      </c>
      <c r="J43" s="107" t="s">
        <v>43</v>
      </c>
    </row>
    <row r="44" spans="1:10" ht="75" x14ac:dyDescent="0.25">
      <c r="A44" s="105" t="s">
        <v>31</v>
      </c>
      <c r="B44" s="29" t="s">
        <v>1332</v>
      </c>
      <c r="C44" s="77" t="s">
        <v>510</v>
      </c>
      <c r="D44" t="s">
        <v>1360</v>
      </c>
      <c r="E44" s="2">
        <v>6000</v>
      </c>
      <c r="F44" s="72">
        <f t="shared" si="0"/>
        <v>1.1363636363636365</v>
      </c>
      <c r="G44" s="2">
        <v>1957</v>
      </c>
      <c r="H44" s="105">
        <v>1983</v>
      </c>
      <c r="I44" s="33" t="s">
        <v>288</v>
      </c>
      <c r="J44" s="107" t="s">
        <v>227</v>
      </c>
    </row>
    <row r="45" spans="1:10" ht="75" x14ac:dyDescent="0.25">
      <c r="A45" s="105" t="s">
        <v>31</v>
      </c>
      <c r="B45" s="29" t="s">
        <v>1332</v>
      </c>
      <c r="C45" s="77" t="s">
        <v>510</v>
      </c>
      <c r="D45" t="s">
        <v>1361</v>
      </c>
      <c r="E45" s="2">
        <f>2600+1100</f>
        <v>3700</v>
      </c>
      <c r="F45" s="72">
        <f t="shared" si="0"/>
        <v>0.7007575757575758</v>
      </c>
      <c r="G45" s="2">
        <v>1959</v>
      </c>
      <c r="I45" s="33" t="s">
        <v>288</v>
      </c>
      <c r="J45" s="107" t="s">
        <v>147</v>
      </c>
    </row>
    <row r="46" spans="1:10" ht="75" x14ac:dyDescent="0.25">
      <c r="A46" s="105" t="s">
        <v>31</v>
      </c>
      <c r="B46" s="29" t="s">
        <v>1332</v>
      </c>
      <c r="C46" s="77" t="s">
        <v>1333</v>
      </c>
      <c r="D46" t="s">
        <v>1410</v>
      </c>
      <c r="E46" s="2">
        <v>2200</v>
      </c>
      <c r="F46" s="72">
        <f t="shared" si="0"/>
        <v>0.41666666666666669</v>
      </c>
      <c r="G46" s="2">
        <v>1958</v>
      </c>
      <c r="I46" s="33" t="s">
        <v>288</v>
      </c>
      <c r="J46" s="107" t="s">
        <v>228</v>
      </c>
    </row>
    <row r="47" spans="1:10" s="104" customFormat="1" ht="45" x14ac:dyDescent="0.25">
      <c r="A47" s="105" t="s">
        <v>31</v>
      </c>
      <c r="B47" s="29" t="s">
        <v>1332</v>
      </c>
      <c r="C47" s="77" t="s">
        <v>1405</v>
      </c>
      <c r="D47" s="77" t="s">
        <v>1406</v>
      </c>
      <c r="E47" s="247">
        <v>464</v>
      </c>
      <c r="F47" s="132">
        <f>E47/5280</f>
        <v>8.7878787878787876E-2</v>
      </c>
      <c r="G47" s="105" t="s">
        <v>908</v>
      </c>
      <c r="I47" s="77" t="s">
        <v>1280</v>
      </c>
      <c r="J47" s="77" t="s">
        <v>1407</v>
      </c>
    </row>
    <row r="48" spans="1:10" ht="75" x14ac:dyDescent="0.25">
      <c r="A48" s="105" t="s">
        <v>31</v>
      </c>
      <c r="B48" s="29" t="s">
        <v>1332</v>
      </c>
      <c r="C48" s="77" t="s">
        <v>1334</v>
      </c>
      <c r="D48" t="s">
        <v>1362</v>
      </c>
      <c r="E48" s="2">
        <v>1300</v>
      </c>
      <c r="F48" s="72">
        <f t="shared" si="0"/>
        <v>0.24621212121212122</v>
      </c>
      <c r="G48" s="2">
        <v>1958</v>
      </c>
      <c r="I48" s="33" t="s">
        <v>288</v>
      </c>
      <c r="J48" s="107" t="s">
        <v>297</v>
      </c>
    </row>
    <row r="49" spans="1:10" ht="75" x14ac:dyDescent="0.25">
      <c r="A49" s="105" t="s">
        <v>31</v>
      </c>
      <c r="B49" s="29" t="s">
        <v>1332</v>
      </c>
      <c r="C49" s="77" t="s">
        <v>1334</v>
      </c>
      <c r="D49" t="s">
        <v>1363</v>
      </c>
      <c r="E49" s="2">
        <v>1000</v>
      </c>
      <c r="F49" s="72">
        <f t="shared" si="0"/>
        <v>0.18939393939393939</v>
      </c>
      <c r="G49" s="2">
        <v>1960</v>
      </c>
      <c r="I49" s="33" t="s">
        <v>288</v>
      </c>
      <c r="J49" s="107" t="s">
        <v>229</v>
      </c>
    </row>
    <row r="50" spans="1:10" s="104" customFormat="1" ht="75" x14ac:dyDescent="0.25">
      <c r="A50" s="105" t="s">
        <v>31</v>
      </c>
      <c r="B50" s="29" t="s">
        <v>1332</v>
      </c>
      <c r="C50" s="77" t="s">
        <v>1334</v>
      </c>
      <c r="D50" s="104" t="s">
        <v>1408</v>
      </c>
      <c r="E50" s="105" t="s">
        <v>249</v>
      </c>
      <c r="F50" s="72" t="s">
        <v>249</v>
      </c>
      <c r="G50" s="105">
        <v>1972</v>
      </c>
      <c r="H50" s="105">
        <v>1978</v>
      </c>
      <c r="I50" s="106" t="s">
        <v>1384</v>
      </c>
      <c r="J50" s="107" t="s">
        <v>1409</v>
      </c>
    </row>
    <row r="51" spans="1:10" x14ac:dyDescent="0.25">
      <c r="B51" s="29"/>
      <c r="C51" s="29"/>
    </row>
    <row r="52" spans="1:10" s="14" customFormat="1" x14ac:dyDescent="0.25">
      <c r="A52" s="7"/>
      <c r="B52" s="29"/>
      <c r="C52" s="29"/>
      <c r="D52" s="5" t="s">
        <v>44</v>
      </c>
      <c r="E52" s="243">
        <f>SUM(E3:E49)</f>
        <v>114861</v>
      </c>
      <c r="F52" s="73">
        <f>SUM(F2:F49)-F53</f>
        <v>16.266287878787875</v>
      </c>
      <c r="G52" s="103" t="s">
        <v>320</v>
      </c>
      <c r="I52" s="70"/>
      <c r="J52" s="70"/>
    </row>
    <row r="53" spans="1:10" x14ac:dyDescent="0.25">
      <c r="B53" s="29"/>
      <c r="C53" s="29"/>
      <c r="F53" s="73">
        <f>F32+F30+F28+F8</f>
        <v>2.364583333333333</v>
      </c>
      <c r="G53" s="14" t="s">
        <v>154</v>
      </c>
    </row>
    <row r="54" spans="1:10" x14ac:dyDescent="0.25">
      <c r="B54" s="29"/>
      <c r="C54" s="29"/>
      <c r="D54" s="11"/>
    </row>
    <row r="55" spans="1:10" x14ac:dyDescent="0.25">
      <c r="B55" s="29"/>
      <c r="C55" s="29"/>
    </row>
    <row r="56" spans="1:10" x14ac:dyDescent="0.25">
      <c r="A56" s="7" t="s">
        <v>247</v>
      </c>
      <c r="B56" s="124" t="s">
        <v>284</v>
      </c>
      <c r="C56" s="29"/>
      <c r="D56" s="124"/>
    </row>
    <row r="57" spans="1:10" x14ac:dyDescent="0.25">
      <c r="A57" s="1"/>
      <c r="B57" s="124" t="s">
        <v>248</v>
      </c>
      <c r="C57" s="29"/>
      <c r="D57" s="99"/>
    </row>
    <row r="58" spans="1:10" x14ac:dyDescent="0.25">
      <c r="A58" s="38"/>
      <c r="B58" s="124" t="s">
        <v>1411</v>
      </c>
      <c r="C58" s="29"/>
      <c r="D58" s="124"/>
    </row>
    <row r="59" spans="1:10" x14ac:dyDescent="0.25">
      <c r="A59" s="10"/>
      <c r="B59" s="125" t="s">
        <v>484</v>
      </c>
      <c r="C59" s="29"/>
      <c r="D59" s="125"/>
    </row>
    <row r="60" spans="1:10" x14ac:dyDescent="0.25">
      <c r="C60" s="234" t="s">
        <v>483</v>
      </c>
      <c r="D60" s="60"/>
    </row>
    <row r="61" spans="1:10" x14ac:dyDescent="0.25">
      <c r="B61" s="29"/>
      <c r="C61" s="29"/>
    </row>
    <row r="62" spans="1:10" x14ac:dyDescent="0.25">
      <c r="B62" s="29"/>
      <c r="C62" s="29"/>
    </row>
    <row r="63" spans="1:10" x14ac:dyDescent="0.25">
      <c r="B63" s="29"/>
      <c r="C63" s="29"/>
    </row>
    <row r="64" spans="1:10" x14ac:dyDescent="0.25">
      <c r="B64" s="29"/>
      <c r="C64" s="29"/>
    </row>
    <row r="65" spans="2:3" x14ac:dyDescent="0.25">
      <c r="B65" s="29"/>
      <c r="C65" s="29"/>
    </row>
    <row r="66" spans="2:3" x14ac:dyDescent="0.25">
      <c r="B66" s="29"/>
      <c r="C66" s="29"/>
    </row>
    <row r="67" spans="2:3" x14ac:dyDescent="0.25">
      <c r="B67" s="29"/>
      <c r="C67" s="29"/>
    </row>
    <row r="68" spans="2:3" x14ac:dyDescent="0.25">
      <c r="B68" s="29"/>
      <c r="C68" s="29"/>
    </row>
    <row r="69" spans="2:3" x14ac:dyDescent="0.25">
      <c r="B69" s="29"/>
      <c r="C69" s="29"/>
    </row>
    <row r="70" spans="2:3" x14ac:dyDescent="0.25">
      <c r="B70" s="29"/>
      <c r="C70" s="29"/>
    </row>
    <row r="71" spans="2:3" x14ac:dyDescent="0.25">
      <c r="B71" s="29"/>
      <c r="C71" s="29"/>
    </row>
    <row r="72" spans="2:3" x14ac:dyDescent="0.25">
      <c r="B72" s="29"/>
      <c r="C72" s="29"/>
    </row>
    <row r="73" spans="2:3" x14ac:dyDescent="0.25">
      <c r="B73" s="29"/>
      <c r="C73" s="29"/>
    </row>
    <row r="74" spans="2:3" x14ac:dyDescent="0.25">
      <c r="B74" s="29"/>
      <c r="C74" s="29"/>
    </row>
    <row r="75" spans="2:3" x14ac:dyDescent="0.25">
      <c r="B75" s="29"/>
      <c r="C75" s="29"/>
    </row>
    <row r="76" spans="2:3" x14ac:dyDescent="0.25">
      <c r="B76" s="29"/>
      <c r="C76" s="29"/>
    </row>
    <row r="77" spans="2:3" x14ac:dyDescent="0.25">
      <c r="B77" s="29"/>
      <c r="C77" s="29"/>
    </row>
    <row r="78" spans="2:3" x14ac:dyDescent="0.25">
      <c r="B78" s="29"/>
      <c r="C78" s="29"/>
    </row>
    <row r="79" spans="2:3" x14ac:dyDescent="0.25">
      <c r="B79" s="29"/>
      <c r="C79" s="29"/>
    </row>
    <row r="80" spans="2:3" x14ac:dyDescent="0.25">
      <c r="B80" s="29"/>
      <c r="C80" s="29"/>
    </row>
    <row r="81" spans="2:3" x14ac:dyDescent="0.25">
      <c r="B81" s="29"/>
      <c r="C81" s="29"/>
    </row>
    <row r="82" spans="2:3" x14ac:dyDescent="0.25">
      <c r="B82" s="29"/>
      <c r="C82" s="29"/>
    </row>
    <row r="83" spans="2:3" x14ac:dyDescent="0.25">
      <c r="B83" s="29"/>
      <c r="C83" s="29"/>
    </row>
    <row r="84" spans="2:3" x14ac:dyDescent="0.25">
      <c r="B84" s="29"/>
      <c r="C84" s="29"/>
    </row>
    <row r="85" spans="2:3" x14ac:dyDescent="0.25">
      <c r="B85" s="29"/>
      <c r="C85" s="29"/>
    </row>
    <row r="86" spans="2:3" x14ac:dyDescent="0.25">
      <c r="B86" s="29"/>
      <c r="C86" s="29"/>
    </row>
    <row r="87" spans="2:3" x14ac:dyDescent="0.25">
      <c r="B87" s="29"/>
      <c r="C87" s="29"/>
    </row>
    <row r="88" spans="2:3" x14ac:dyDescent="0.25">
      <c r="B88" s="29"/>
      <c r="C88" s="29"/>
    </row>
    <row r="89" spans="2:3" x14ac:dyDescent="0.25">
      <c r="B89" s="40"/>
      <c r="C89" s="40"/>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workbookViewId="0"/>
  </sheetViews>
  <sheetFormatPr defaultRowHeight="15" x14ac:dyDescent="0.25"/>
  <cols>
    <col min="2" max="2" width="14.28515625" style="104" customWidth="1"/>
    <col min="3" max="3" width="15.7109375" style="104" customWidth="1"/>
    <col min="4" max="4" width="38.5703125" customWidth="1"/>
    <col min="5" max="6" width="14.85546875" customWidth="1"/>
    <col min="7" max="7" width="11.42578125" customWidth="1"/>
    <col min="8" max="8" width="15.42578125" customWidth="1"/>
    <col min="9" max="9" width="24.42578125" customWidth="1"/>
    <col min="10" max="10" width="81.140625" style="107" customWidth="1"/>
    <col min="11" max="11" width="28.7109375" customWidth="1"/>
  </cols>
  <sheetData>
    <row r="1" spans="1:10" s="61" customFormat="1" ht="90" x14ac:dyDescent="0.25">
      <c r="A1" s="61" t="s">
        <v>0</v>
      </c>
      <c r="B1" s="48" t="s">
        <v>263</v>
      </c>
      <c r="C1" s="48" t="s">
        <v>264</v>
      </c>
      <c r="D1" s="61" t="s">
        <v>1</v>
      </c>
      <c r="E1" s="61" t="s">
        <v>5</v>
      </c>
      <c r="F1" s="61" t="s">
        <v>3</v>
      </c>
      <c r="G1" s="61" t="s">
        <v>2</v>
      </c>
      <c r="H1" s="48" t="s">
        <v>267</v>
      </c>
      <c r="I1" s="61" t="s">
        <v>4</v>
      </c>
      <c r="J1" s="61" t="s">
        <v>7</v>
      </c>
    </row>
    <row r="2" spans="1:10" s="12" customFormat="1" ht="30" x14ac:dyDescent="0.25">
      <c r="A2" s="12" t="s">
        <v>8</v>
      </c>
      <c r="B2" s="12" t="s">
        <v>517</v>
      </c>
      <c r="C2" s="12" t="s">
        <v>1412</v>
      </c>
      <c r="D2" s="12" t="s">
        <v>11</v>
      </c>
      <c r="E2" s="67" t="s">
        <v>249</v>
      </c>
      <c r="F2" s="68" t="s">
        <v>249</v>
      </c>
      <c r="G2" s="67" t="s">
        <v>158</v>
      </c>
      <c r="H2" s="67">
        <v>2012</v>
      </c>
      <c r="I2" s="112" t="s">
        <v>1415</v>
      </c>
      <c r="J2" s="112" t="s">
        <v>262</v>
      </c>
    </row>
    <row r="3" spans="1:10" s="279" customFormat="1" ht="60" x14ac:dyDescent="0.25">
      <c r="A3" s="279" t="s">
        <v>8</v>
      </c>
      <c r="B3" s="142" t="s">
        <v>517</v>
      </c>
      <c r="C3" s="142" t="s">
        <v>1413</v>
      </c>
      <c r="D3" s="144" t="s">
        <v>1414</v>
      </c>
      <c r="E3" s="139">
        <v>8500</v>
      </c>
      <c r="F3" s="140">
        <f>8345/5280</f>
        <v>1.5804924242424243</v>
      </c>
      <c r="G3" s="281" t="s">
        <v>154</v>
      </c>
      <c r="H3" s="281"/>
      <c r="I3" s="144" t="s">
        <v>1416</v>
      </c>
      <c r="J3" s="144" t="s">
        <v>1417</v>
      </c>
    </row>
    <row r="4" spans="1:10" s="12" customFormat="1" ht="30" x14ac:dyDescent="0.25">
      <c r="A4" s="12" t="s">
        <v>8</v>
      </c>
      <c r="C4" s="104" t="s">
        <v>1413</v>
      </c>
      <c r="D4" s="104" t="s">
        <v>1418</v>
      </c>
      <c r="E4" s="105">
        <v>155</v>
      </c>
      <c r="F4" s="72">
        <f>E4/5280</f>
        <v>2.9356060606060608E-2</v>
      </c>
      <c r="G4" s="67">
        <v>2013</v>
      </c>
      <c r="H4" s="67"/>
      <c r="I4" s="107" t="s">
        <v>1419</v>
      </c>
      <c r="J4" s="107" t="s">
        <v>1420</v>
      </c>
    </row>
    <row r="5" spans="1:10" s="12" customFormat="1" ht="60" x14ac:dyDescent="0.25">
      <c r="A5" s="12" t="s">
        <v>8</v>
      </c>
      <c r="B5" s="12" t="s">
        <v>517</v>
      </c>
      <c r="C5" s="12" t="s">
        <v>1413</v>
      </c>
      <c r="D5" s="112" t="s">
        <v>1429</v>
      </c>
      <c r="E5" s="67" t="s">
        <v>249</v>
      </c>
      <c r="F5" s="68" t="s">
        <v>249</v>
      </c>
      <c r="G5" s="67">
        <v>1987</v>
      </c>
      <c r="H5" s="109" t="s">
        <v>164</v>
      </c>
      <c r="I5" s="12" t="s">
        <v>163</v>
      </c>
      <c r="J5" s="112" t="s">
        <v>1428</v>
      </c>
    </row>
    <row r="6" spans="1:10" ht="45" x14ac:dyDescent="0.25">
      <c r="A6" s="12" t="s">
        <v>8</v>
      </c>
      <c r="B6" s="12" t="s">
        <v>517</v>
      </c>
      <c r="C6" s="12" t="s">
        <v>1413</v>
      </c>
      <c r="D6" s="112" t="s">
        <v>1422</v>
      </c>
      <c r="E6" s="105" t="s">
        <v>249</v>
      </c>
      <c r="F6" s="67" t="s">
        <v>249</v>
      </c>
      <c r="G6" s="105">
        <v>1977</v>
      </c>
      <c r="H6" s="107" t="s">
        <v>162</v>
      </c>
      <c r="I6" s="112" t="s">
        <v>160</v>
      </c>
      <c r="J6" s="112" t="s">
        <v>161</v>
      </c>
    </row>
    <row r="7" spans="1:10" s="12" customFormat="1" ht="120" x14ac:dyDescent="0.25">
      <c r="A7" s="12" t="s">
        <v>8</v>
      </c>
      <c r="B7" s="104" t="s">
        <v>517</v>
      </c>
      <c r="C7" s="104" t="s">
        <v>1413</v>
      </c>
      <c r="D7" s="107" t="s">
        <v>1423</v>
      </c>
      <c r="E7" s="105">
        <v>600</v>
      </c>
      <c r="F7" s="72">
        <f t="shared" ref="F7:F29" si="0">E7/5280</f>
        <v>0.11363636363636363</v>
      </c>
      <c r="G7" s="67">
        <v>1946</v>
      </c>
      <c r="H7" s="109" t="s">
        <v>1421</v>
      </c>
      <c r="I7" s="107" t="s">
        <v>1430</v>
      </c>
      <c r="J7" s="112" t="s">
        <v>1431</v>
      </c>
    </row>
    <row r="8" spans="1:10" s="12" customFormat="1" ht="30" x14ac:dyDescent="0.25">
      <c r="A8" s="12" t="s">
        <v>8</v>
      </c>
      <c r="B8" s="104" t="s">
        <v>517</v>
      </c>
      <c r="C8" s="104" t="s">
        <v>1424</v>
      </c>
      <c r="D8" s="104" t="s">
        <v>1425</v>
      </c>
      <c r="E8" s="105">
        <v>246</v>
      </c>
      <c r="F8" s="72">
        <f t="shared" si="0"/>
        <v>4.6590909090909093E-2</v>
      </c>
      <c r="G8" s="67">
        <v>2013</v>
      </c>
      <c r="H8" s="67"/>
      <c r="I8" s="107" t="s">
        <v>1426</v>
      </c>
      <c r="J8" s="107" t="s">
        <v>1427</v>
      </c>
    </row>
    <row r="9" spans="1:10" ht="30" x14ac:dyDescent="0.25">
      <c r="A9" s="12" t="s">
        <v>8</v>
      </c>
      <c r="B9" s="104" t="s">
        <v>517</v>
      </c>
      <c r="C9" s="104" t="s">
        <v>1062</v>
      </c>
      <c r="D9" s="104" t="s">
        <v>1433</v>
      </c>
      <c r="E9" s="105">
        <v>850</v>
      </c>
      <c r="F9" s="72">
        <f t="shared" si="0"/>
        <v>0.16098484848484848</v>
      </c>
      <c r="G9" s="67">
        <v>2013</v>
      </c>
      <c r="I9" s="107" t="s">
        <v>1434</v>
      </c>
      <c r="J9" s="107" t="s">
        <v>1435</v>
      </c>
    </row>
    <row r="10" spans="1:10" s="104" customFormat="1" ht="30" x14ac:dyDescent="0.25">
      <c r="A10" s="12" t="s">
        <v>8</v>
      </c>
      <c r="B10" s="104" t="s">
        <v>517</v>
      </c>
      <c r="C10" s="104" t="s">
        <v>1436</v>
      </c>
      <c r="D10" s="104" t="s">
        <v>1437</v>
      </c>
      <c r="E10" s="105">
        <v>60</v>
      </c>
      <c r="F10" s="72">
        <f t="shared" si="0"/>
        <v>1.1363636363636364E-2</v>
      </c>
      <c r="G10" s="105" t="s">
        <v>476</v>
      </c>
      <c r="I10" s="107" t="s">
        <v>1446</v>
      </c>
      <c r="J10" s="107" t="s">
        <v>1447</v>
      </c>
    </row>
    <row r="11" spans="1:10" s="104" customFormat="1" ht="30" x14ac:dyDescent="0.25">
      <c r="A11" s="12" t="s">
        <v>8</v>
      </c>
      <c r="B11" s="104" t="s">
        <v>517</v>
      </c>
      <c r="C11" s="104" t="s">
        <v>1436</v>
      </c>
      <c r="D11" s="104" t="s">
        <v>1438</v>
      </c>
      <c r="E11" s="105">
        <v>70</v>
      </c>
      <c r="F11" s="72">
        <f t="shared" si="0"/>
        <v>1.3257575757575758E-2</v>
      </c>
      <c r="G11" s="105" t="s">
        <v>476</v>
      </c>
      <c r="I11" s="107" t="s">
        <v>1448</v>
      </c>
      <c r="J11" s="107" t="s">
        <v>1449</v>
      </c>
    </row>
    <row r="12" spans="1:10" s="104" customFormat="1" ht="30" x14ac:dyDescent="0.25">
      <c r="A12" s="12" t="s">
        <v>8</v>
      </c>
      <c r="B12" s="104" t="s">
        <v>517</v>
      </c>
      <c r="C12" s="104" t="s">
        <v>1436</v>
      </c>
      <c r="D12" s="104" t="s">
        <v>1439</v>
      </c>
      <c r="E12" s="105">
        <v>85</v>
      </c>
      <c r="F12" s="72">
        <f t="shared" si="0"/>
        <v>1.6098484848484848E-2</v>
      </c>
      <c r="G12" s="105">
        <v>2014</v>
      </c>
      <c r="I12" s="290" t="s">
        <v>1450</v>
      </c>
      <c r="J12" s="107" t="s">
        <v>1447</v>
      </c>
    </row>
    <row r="13" spans="1:10" s="104" customFormat="1" ht="30" x14ac:dyDescent="0.25">
      <c r="A13" s="12" t="s">
        <v>8</v>
      </c>
      <c r="B13" s="104" t="s">
        <v>517</v>
      </c>
      <c r="C13" s="104" t="s">
        <v>1436</v>
      </c>
      <c r="D13" s="104" t="s">
        <v>1440</v>
      </c>
      <c r="E13" s="105">
        <v>115</v>
      </c>
      <c r="F13" s="72">
        <f t="shared" si="0"/>
        <v>2.1780303030303032E-2</v>
      </c>
      <c r="G13" s="105">
        <v>2014</v>
      </c>
      <c r="I13" s="107" t="s">
        <v>1451</v>
      </c>
      <c r="J13" s="107" t="s">
        <v>1452</v>
      </c>
    </row>
    <row r="14" spans="1:10" s="104" customFormat="1" ht="30" x14ac:dyDescent="0.25">
      <c r="A14" s="12" t="s">
        <v>8</v>
      </c>
      <c r="B14" s="104" t="s">
        <v>517</v>
      </c>
      <c r="C14" s="104" t="s">
        <v>1441</v>
      </c>
      <c r="D14" s="104" t="s">
        <v>1442</v>
      </c>
      <c r="E14" s="105">
        <v>55</v>
      </c>
      <c r="F14" s="72">
        <f t="shared" si="0"/>
        <v>1.0416666666666666E-2</v>
      </c>
      <c r="G14" s="105">
        <v>2013</v>
      </c>
      <c r="I14" s="107" t="s">
        <v>1453</v>
      </c>
      <c r="J14" s="107" t="s">
        <v>1454</v>
      </c>
    </row>
    <row r="15" spans="1:10" s="104" customFormat="1" ht="30" x14ac:dyDescent="0.25">
      <c r="A15" s="12" t="s">
        <v>8</v>
      </c>
      <c r="B15" s="104" t="s">
        <v>517</v>
      </c>
      <c r="C15" s="104" t="s">
        <v>1441</v>
      </c>
      <c r="D15" s="104" t="s">
        <v>1443</v>
      </c>
      <c r="E15" s="105">
        <v>50</v>
      </c>
      <c r="F15" s="72">
        <f t="shared" si="0"/>
        <v>9.46969696969697E-3</v>
      </c>
      <c r="G15" s="105">
        <v>2013</v>
      </c>
      <c r="I15" s="107" t="s">
        <v>1455</v>
      </c>
      <c r="J15" s="107" t="s">
        <v>1447</v>
      </c>
    </row>
    <row r="16" spans="1:10" s="104" customFormat="1" ht="30" x14ac:dyDescent="0.25">
      <c r="A16" s="12" t="s">
        <v>8</v>
      </c>
      <c r="B16" s="104" t="s">
        <v>517</v>
      </c>
      <c r="C16" s="104" t="s">
        <v>1441</v>
      </c>
      <c r="D16" s="104" t="s">
        <v>1444</v>
      </c>
      <c r="E16" s="105">
        <v>100</v>
      </c>
      <c r="F16" s="72">
        <f t="shared" si="0"/>
        <v>1.893939393939394E-2</v>
      </c>
      <c r="G16" s="105">
        <v>2013</v>
      </c>
      <c r="I16" s="107" t="s">
        <v>1456</v>
      </c>
      <c r="J16" s="107" t="s">
        <v>1454</v>
      </c>
    </row>
    <row r="17" spans="1:10" s="12" customFormat="1" ht="45" x14ac:dyDescent="0.25">
      <c r="A17" s="12" t="s">
        <v>8</v>
      </c>
      <c r="B17" s="104" t="s">
        <v>517</v>
      </c>
      <c r="C17" s="104" t="s">
        <v>1441</v>
      </c>
      <c r="D17" s="104" t="s">
        <v>1445</v>
      </c>
      <c r="E17" s="105">
        <v>180</v>
      </c>
      <c r="F17" s="72">
        <f t="shared" si="0"/>
        <v>3.4090909090909088E-2</v>
      </c>
      <c r="G17" s="105" t="s">
        <v>536</v>
      </c>
      <c r="H17" s="86"/>
      <c r="I17" s="107" t="s">
        <v>1457</v>
      </c>
      <c r="J17" s="107" t="s">
        <v>1458</v>
      </c>
    </row>
    <row r="18" spans="1:10" s="12" customFormat="1" ht="30" x14ac:dyDescent="0.25">
      <c r="A18" s="12" t="s">
        <v>8</v>
      </c>
      <c r="B18" s="104" t="s">
        <v>517</v>
      </c>
      <c r="C18" s="104" t="s">
        <v>1441</v>
      </c>
      <c r="D18" s="104" t="s">
        <v>1464</v>
      </c>
      <c r="E18" s="105">
        <v>200</v>
      </c>
      <c r="F18" s="72">
        <f t="shared" si="0"/>
        <v>3.787878787878788E-2</v>
      </c>
      <c r="G18" s="105">
        <v>2014</v>
      </c>
      <c r="H18" s="86"/>
      <c r="I18" s="107" t="s">
        <v>1466</v>
      </c>
      <c r="J18" s="107" t="s">
        <v>1452</v>
      </c>
    </row>
    <row r="19" spans="1:10" s="12" customFormat="1" ht="30" x14ac:dyDescent="0.25">
      <c r="A19" s="12" t="s">
        <v>8</v>
      </c>
      <c r="B19" s="104" t="s">
        <v>517</v>
      </c>
      <c r="C19" s="104" t="s">
        <v>1441</v>
      </c>
      <c r="D19" s="104" t="s">
        <v>1465</v>
      </c>
      <c r="E19" s="105">
        <v>85</v>
      </c>
      <c r="F19" s="72">
        <f t="shared" si="0"/>
        <v>1.6098484848484848E-2</v>
      </c>
      <c r="G19" s="105" t="s">
        <v>536</v>
      </c>
      <c r="H19" s="86"/>
      <c r="I19" s="107" t="s">
        <v>1467</v>
      </c>
      <c r="J19" s="107" t="s">
        <v>1452</v>
      </c>
    </row>
    <row r="20" spans="1:10" s="12" customFormat="1" ht="30" x14ac:dyDescent="0.25">
      <c r="A20" s="12" t="s">
        <v>8</v>
      </c>
      <c r="B20" s="104" t="s">
        <v>517</v>
      </c>
      <c r="C20" s="104" t="s">
        <v>1441</v>
      </c>
      <c r="D20" s="104" t="s">
        <v>1588</v>
      </c>
      <c r="E20" s="105">
        <v>50</v>
      </c>
      <c r="F20" s="258" t="s">
        <v>853</v>
      </c>
      <c r="G20" s="105">
        <v>2013</v>
      </c>
      <c r="H20" s="86"/>
      <c r="I20" s="107" t="s">
        <v>1589</v>
      </c>
      <c r="J20" s="104" t="s">
        <v>1590</v>
      </c>
    </row>
    <row r="21" spans="1:10" s="12" customFormat="1" ht="45" x14ac:dyDescent="0.25">
      <c r="A21" s="12" t="s">
        <v>8</v>
      </c>
      <c r="B21" s="12" t="s">
        <v>517</v>
      </c>
      <c r="C21" s="12" t="s">
        <v>1441</v>
      </c>
      <c r="D21" s="112" t="s">
        <v>1468</v>
      </c>
      <c r="E21" s="291">
        <v>3100</v>
      </c>
      <c r="F21" s="121">
        <f t="shared" si="0"/>
        <v>0.58712121212121215</v>
      </c>
      <c r="G21" s="67">
        <v>1961</v>
      </c>
      <c r="H21" s="109" t="s">
        <v>1459</v>
      </c>
      <c r="I21" s="112" t="s">
        <v>1462</v>
      </c>
      <c r="J21" s="112" t="s">
        <v>1463</v>
      </c>
    </row>
    <row r="22" spans="1:10" s="12" customFormat="1" ht="30" x14ac:dyDescent="0.25">
      <c r="A22" s="12" t="s">
        <v>8</v>
      </c>
      <c r="B22" s="104" t="s">
        <v>517</v>
      </c>
      <c r="C22" s="104" t="s">
        <v>1469</v>
      </c>
      <c r="D22" s="104" t="s">
        <v>1470</v>
      </c>
      <c r="E22" s="105">
        <v>180</v>
      </c>
      <c r="F22" s="72">
        <f t="shared" si="0"/>
        <v>3.4090909090909088E-2</v>
      </c>
      <c r="G22" s="105">
        <v>2014</v>
      </c>
      <c r="H22" s="109"/>
      <c r="I22" s="107" t="s">
        <v>1480</v>
      </c>
      <c r="J22" s="107" t="s">
        <v>1481</v>
      </c>
    </row>
    <row r="23" spans="1:10" s="12" customFormat="1" ht="30" x14ac:dyDescent="0.25">
      <c r="A23" s="12" t="s">
        <v>8</v>
      </c>
      <c r="B23" s="104" t="s">
        <v>517</v>
      </c>
      <c r="C23" s="104" t="s">
        <v>1471</v>
      </c>
      <c r="D23" s="104" t="s">
        <v>1472</v>
      </c>
      <c r="E23" s="105">
        <v>75</v>
      </c>
      <c r="F23" s="72">
        <f t="shared" si="0"/>
        <v>1.4204545454545454E-2</v>
      </c>
      <c r="G23" s="105">
        <v>2013</v>
      </c>
      <c r="H23" s="109"/>
      <c r="I23" s="107" t="s">
        <v>1482</v>
      </c>
      <c r="J23" s="107" t="s">
        <v>1483</v>
      </c>
    </row>
    <row r="24" spans="1:10" s="12" customFormat="1" ht="30" x14ac:dyDescent="0.25">
      <c r="A24" s="12" t="s">
        <v>8</v>
      </c>
      <c r="B24" s="104" t="s">
        <v>517</v>
      </c>
      <c r="C24" s="104" t="s">
        <v>1473</v>
      </c>
      <c r="D24" s="104" t="s">
        <v>1474</v>
      </c>
      <c r="E24" s="105">
        <v>50</v>
      </c>
      <c r="F24" s="72">
        <f t="shared" si="0"/>
        <v>9.46969696969697E-3</v>
      </c>
      <c r="G24" s="105">
        <v>2013</v>
      </c>
      <c r="H24" s="109"/>
      <c r="I24" s="107" t="s">
        <v>1484</v>
      </c>
      <c r="J24" s="107" t="s">
        <v>1483</v>
      </c>
    </row>
    <row r="25" spans="1:10" s="12" customFormat="1" ht="30" x14ac:dyDescent="0.25">
      <c r="A25" s="12" t="s">
        <v>8</v>
      </c>
      <c r="B25" s="104" t="s">
        <v>517</v>
      </c>
      <c r="C25" s="104" t="s">
        <v>1473</v>
      </c>
      <c r="D25" s="104" t="s">
        <v>1475</v>
      </c>
      <c r="E25" s="105">
        <v>175</v>
      </c>
      <c r="F25" s="72">
        <f t="shared" si="0"/>
        <v>3.3143939393939392E-2</v>
      </c>
      <c r="G25" s="105" t="s">
        <v>536</v>
      </c>
      <c r="H25" s="109"/>
      <c r="I25" s="107" t="s">
        <v>1485</v>
      </c>
      <c r="J25" s="107" t="s">
        <v>1486</v>
      </c>
    </row>
    <row r="26" spans="1:10" s="12" customFormat="1" ht="30" x14ac:dyDescent="0.25">
      <c r="A26" s="12" t="s">
        <v>8</v>
      </c>
      <c r="B26" s="104" t="s">
        <v>517</v>
      </c>
      <c r="C26" s="104" t="s">
        <v>1476</v>
      </c>
      <c r="D26" s="104" t="s">
        <v>1477</v>
      </c>
      <c r="E26" s="105">
        <v>155</v>
      </c>
      <c r="F26" s="72">
        <f t="shared" si="0"/>
        <v>2.9356060606060608E-2</v>
      </c>
      <c r="G26" s="105">
        <v>2013</v>
      </c>
      <c r="H26" s="109"/>
      <c r="I26" s="107" t="s">
        <v>1487</v>
      </c>
      <c r="J26" s="107" t="s">
        <v>1488</v>
      </c>
    </row>
    <row r="27" spans="1:10" s="12" customFormat="1" ht="60" x14ac:dyDescent="0.25">
      <c r="A27" s="12" t="s">
        <v>8</v>
      </c>
      <c r="B27" s="12" t="s">
        <v>517</v>
      </c>
      <c r="C27" s="12" t="s">
        <v>2573</v>
      </c>
      <c r="D27" s="112" t="s">
        <v>1491</v>
      </c>
      <c r="E27" s="67" t="s">
        <v>249</v>
      </c>
      <c r="F27" s="69" t="s">
        <v>249</v>
      </c>
      <c r="G27" s="67">
        <v>1976</v>
      </c>
      <c r="H27" s="67" t="s">
        <v>156</v>
      </c>
      <c r="I27" s="112" t="s">
        <v>1493</v>
      </c>
      <c r="J27" s="83" t="s">
        <v>1492</v>
      </c>
    </row>
    <row r="28" spans="1:10" s="12" customFormat="1" ht="45" x14ac:dyDescent="0.25">
      <c r="A28" s="12" t="s">
        <v>8</v>
      </c>
      <c r="B28" s="12" t="s">
        <v>517</v>
      </c>
      <c r="C28" s="12" t="s">
        <v>2574</v>
      </c>
      <c r="D28" s="112" t="s">
        <v>1496</v>
      </c>
      <c r="E28" s="67" t="s">
        <v>249</v>
      </c>
      <c r="F28" s="69" t="s">
        <v>249</v>
      </c>
      <c r="G28" s="67">
        <v>2006</v>
      </c>
      <c r="H28" s="67"/>
      <c r="I28" s="112" t="s">
        <v>1495</v>
      </c>
      <c r="J28" s="83" t="s">
        <v>1494</v>
      </c>
    </row>
    <row r="29" spans="1:10" s="12" customFormat="1" ht="30" x14ac:dyDescent="0.25">
      <c r="A29" s="12" t="s">
        <v>8</v>
      </c>
      <c r="B29" s="104" t="s">
        <v>517</v>
      </c>
      <c r="C29" s="104" t="s">
        <v>1478</v>
      </c>
      <c r="D29" s="104" t="s">
        <v>1479</v>
      </c>
      <c r="E29" s="105">
        <v>730</v>
      </c>
      <c r="F29" s="72">
        <f t="shared" si="0"/>
        <v>0.13825757575757575</v>
      </c>
      <c r="G29" s="105">
        <v>2015</v>
      </c>
      <c r="H29" s="109"/>
      <c r="I29" s="107" t="s">
        <v>1489</v>
      </c>
      <c r="J29" s="107" t="s">
        <v>1490</v>
      </c>
    </row>
    <row r="30" spans="1:10" s="12" customFormat="1" ht="30" x14ac:dyDescent="0.25">
      <c r="A30" s="12" t="s">
        <v>8</v>
      </c>
      <c r="B30" s="11" t="s">
        <v>517</v>
      </c>
      <c r="C30" s="11" t="s">
        <v>1498</v>
      </c>
      <c r="D30" s="11" t="s">
        <v>1499</v>
      </c>
      <c r="E30" s="10">
        <v>380</v>
      </c>
      <c r="F30" s="72">
        <f t="shared" ref="F30" si="1">E30/5280</f>
        <v>7.1969696969696975E-2</v>
      </c>
      <c r="G30" s="105">
        <v>2013</v>
      </c>
      <c r="H30" s="109"/>
      <c r="I30" s="57" t="s">
        <v>1497</v>
      </c>
      <c r="J30" s="57" t="s">
        <v>1486</v>
      </c>
    </row>
    <row r="31" spans="1:10" s="12" customFormat="1" ht="60" x14ac:dyDescent="0.25">
      <c r="A31" s="12" t="s">
        <v>8</v>
      </c>
      <c r="B31" s="104" t="s">
        <v>517</v>
      </c>
      <c r="C31" s="104" t="s">
        <v>1500</v>
      </c>
      <c r="D31" s="107" t="s">
        <v>1501</v>
      </c>
      <c r="E31" s="105" t="s">
        <v>249</v>
      </c>
      <c r="F31" s="72" t="s">
        <v>249</v>
      </c>
      <c r="G31" s="67">
        <v>1958</v>
      </c>
      <c r="H31" s="67" t="s">
        <v>1502</v>
      </c>
      <c r="I31" s="107" t="s">
        <v>1503</v>
      </c>
      <c r="J31" s="107" t="s">
        <v>1504</v>
      </c>
    </row>
    <row r="32" spans="1:10" s="12" customFormat="1" ht="45" x14ac:dyDescent="0.25">
      <c r="A32" s="12" t="s">
        <v>8</v>
      </c>
      <c r="B32" s="11" t="s">
        <v>517</v>
      </c>
      <c r="C32" s="11" t="s">
        <v>1505</v>
      </c>
      <c r="D32" s="11" t="s">
        <v>1515</v>
      </c>
      <c r="E32" s="10">
        <v>325</v>
      </c>
      <c r="F32" s="72">
        <f t="shared" ref="F32" si="2">E32/5280</f>
        <v>6.1553030303030304E-2</v>
      </c>
      <c r="G32" s="67">
        <v>2013</v>
      </c>
      <c r="H32" s="67"/>
      <c r="I32" s="57" t="s">
        <v>1516</v>
      </c>
      <c r="J32" s="83" t="s">
        <v>1517</v>
      </c>
    </row>
    <row r="33" spans="1:11" s="279" customFormat="1" ht="75" x14ac:dyDescent="0.25">
      <c r="A33" s="279" t="s">
        <v>8</v>
      </c>
      <c r="B33" s="142" t="s">
        <v>517</v>
      </c>
      <c r="C33" s="142" t="s">
        <v>1505</v>
      </c>
      <c r="D33" s="142" t="s">
        <v>1506</v>
      </c>
      <c r="E33" s="254">
        <v>170</v>
      </c>
      <c r="F33" s="140">
        <f t="shared" ref="F33:F51" si="3">E33/5280</f>
        <v>3.2196969696969696E-2</v>
      </c>
      <c r="G33" s="254" t="s">
        <v>154</v>
      </c>
      <c r="H33" s="153"/>
      <c r="I33" s="144" t="s">
        <v>1509</v>
      </c>
      <c r="J33" s="151" t="s">
        <v>1510</v>
      </c>
    </row>
    <row r="34" spans="1:11" s="279" customFormat="1" ht="75" x14ac:dyDescent="0.25">
      <c r="A34" s="279" t="s">
        <v>8</v>
      </c>
      <c r="B34" s="142" t="s">
        <v>517</v>
      </c>
      <c r="C34" s="142" t="s">
        <v>1505</v>
      </c>
      <c r="D34" s="142" t="s">
        <v>1507</v>
      </c>
      <c r="E34" s="254">
        <v>175</v>
      </c>
      <c r="F34" s="140">
        <f t="shared" si="3"/>
        <v>3.3143939393939392E-2</v>
      </c>
      <c r="G34" s="281" t="s">
        <v>154</v>
      </c>
      <c r="H34" s="281"/>
      <c r="I34" s="144" t="s">
        <v>1511</v>
      </c>
      <c r="J34" s="151" t="s">
        <v>1512</v>
      </c>
    </row>
    <row r="35" spans="1:11" s="279" customFormat="1" ht="75" x14ac:dyDescent="0.25">
      <c r="A35" s="279" t="s">
        <v>8</v>
      </c>
      <c r="B35" s="142" t="s">
        <v>517</v>
      </c>
      <c r="C35" s="142" t="s">
        <v>1505</v>
      </c>
      <c r="D35" s="142" t="s">
        <v>1508</v>
      </c>
      <c r="E35" s="254">
        <v>270</v>
      </c>
      <c r="F35" s="140">
        <f t="shared" si="3"/>
        <v>5.113636363636364E-2</v>
      </c>
      <c r="G35" s="281" t="s">
        <v>154</v>
      </c>
      <c r="I35" s="144" t="s">
        <v>1513</v>
      </c>
      <c r="J35" s="151" t="s">
        <v>1514</v>
      </c>
    </row>
    <row r="36" spans="1:11" s="60" customFormat="1" ht="45" x14ac:dyDescent="0.25">
      <c r="A36" s="60" t="s">
        <v>8</v>
      </c>
      <c r="B36" s="11" t="s">
        <v>517</v>
      </c>
      <c r="C36" s="11" t="s">
        <v>1505</v>
      </c>
      <c r="D36" s="11" t="s">
        <v>1518</v>
      </c>
      <c r="E36" s="10">
        <v>225</v>
      </c>
      <c r="F36" s="72">
        <f t="shared" si="3"/>
        <v>4.261363636363636E-2</v>
      </c>
      <c r="G36" s="10">
        <v>2013</v>
      </c>
      <c r="I36" s="57" t="s">
        <v>1519</v>
      </c>
      <c r="J36" s="83" t="s">
        <v>1454</v>
      </c>
    </row>
    <row r="37" spans="1:11" s="60" customFormat="1" ht="60" x14ac:dyDescent="0.25">
      <c r="A37" s="60" t="s">
        <v>8</v>
      </c>
      <c r="B37" s="11" t="s">
        <v>517</v>
      </c>
      <c r="C37" s="11" t="s">
        <v>1505</v>
      </c>
      <c r="D37" s="57" t="s">
        <v>1524</v>
      </c>
      <c r="E37" s="242">
        <v>2400</v>
      </c>
      <c r="F37" s="72">
        <f t="shared" si="3"/>
        <v>0.45454545454545453</v>
      </c>
      <c r="G37" s="10">
        <v>1961</v>
      </c>
      <c r="H37" s="109" t="s">
        <v>1522</v>
      </c>
      <c r="I37" s="57" t="s">
        <v>1520</v>
      </c>
      <c r="J37" s="57" t="s">
        <v>1521</v>
      </c>
    </row>
    <row r="38" spans="1:11" s="12" customFormat="1" ht="75" x14ac:dyDescent="0.25">
      <c r="A38" s="12" t="s">
        <v>8</v>
      </c>
      <c r="B38" s="12" t="s">
        <v>517</v>
      </c>
      <c r="C38" s="12" t="s">
        <v>1505</v>
      </c>
      <c r="D38" s="112" t="s">
        <v>1525</v>
      </c>
      <c r="E38" s="291">
        <v>4200</v>
      </c>
      <c r="F38" s="72">
        <f t="shared" si="3"/>
        <v>0.79545454545454541</v>
      </c>
      <c r="G38" s="67">
        <v>1961</v>
      </c>
      <c r="H38" s="109" t="s">
        <v>1522</v>
      </c>
      <c r="I38" s="57" t="s">
        <v>1520</v>
      </c>
      <c r="J38" s="112" t="s">
        <v>1523</v>
      </c>
      <c r="K38" s="112"/>
    </row>
    <row r="39" spans="1:11" s="12" customFormat="1" ht="30" x14ac:dyDescent="0.25">
      <c r="A39" s="12" t="s">
        <v>8</v>
      </c>
      <c r="B39" s="11" t="s">
        <v>517</v>
      </c>
      <c r="C39" s="11" t="s">
        <v>1526</v>
      </c>
      <c r="D39" s="104" t="s">
        <v>1527</v>
      </c>
      <c r="E39" s="242">
        <v>1085</v>
      </c>
      <c r="F39" s="72">
        <f t="shared" si="3"/>
        <v>0.20549242424242425</v>
      </c>
      <c r="G39" s="105">
        <v>2014</v>
      </c>
      <c r="H39" s="109"/>
      <c r="I39" s="107" t="s">
        <v>1533</v>
      </c>
      <c r="J39" s="83" t="s">
        <v>1534</v>
      </c>
      <c r="K39" s="112"/>
    </row>
    <row r="40" spans="1:11" s="12" customFormat="1" ht="30" x14ac:dyDescent="0.25">
      <c r="A40" s="12" t="s">
        <v>8</v>
      </c>
      <c r="B40" s="11" t="s">
        <v>517</v>
      </c>
      <c r="C40" s="11" t="s">
        <v>1526</v>
      </c>
      <c r="D40" s="11" t="s">
        <v>1528</v>
      </c>
      <c r="E40" s="10">
        <v>135</v>
      </c>
      <c r="F40" s="72">
        <f t="shared" si="3"/>
        <v>2.556818181818182E-2</v>
      </c>
      <c r="G40" s="10">
        <v>2013</v>
      </c>
      <c r="H40" s="109"/>
      <c r="I40" s="57" t="s">
        <v>1535</v>
      </c>
      <c r="J40" s="83" t="s">
        <v>1536</v>
      </c>
      <c r="K40" s="112"/>
    </row>
    <row r="41" spans="1:11" s="12" customFormat="1" ht="30" x14ac:dyDescent="0.25">
      <c r="A41" s="12" t="s">
        <v>8</v>
      </c>
      <c r="B41" s="11" t="s">
        <v>517</v>
      </c>
      <c r="C41" s="11" t="s">
        <v>1526</v>
      </c>
      <c r="D41" s="104" t="s">
        <v>1529</v>
      </c>
      <c r="E41" s="10">
        <v>115</v>
      </c>
      <c r="F41" s="72">
        <f t="shared" si="3"/>
        <v>2.1780303030303032E-2</v>
      </c>
      <c r="G41" s="105">
        <v>2013</v>
      </c>
      <c r="H41" s="109"/>
      <c r="I41" s="107" t="s">
        <v>1537</v>
      </c>
      <c r="J41" s="83" t="s">
        <v>1486</v>
      </c>
      <c r="K41" s="112"/>
    </row>
    <row r="42" spans="1:11" s="12" customFormat="1" ht="30" x14ac:dyDescent="0.25">
      <c r="A42" s="12" t="s">
        <v>8</v>
      </c>
      <c r="B42" s="11" t="s">
        <v>517</v>
      </c>
      <c r="C42" s="11" t="s">
        <v>1526</v>
      </c>
      <c r="D42" s="104" t="s">
        <v>1530</v>
      </c>
      <c r="E42" s="10">
        <v>100</v>
      </c>
      <c r="F42" s="72">
        <f t="shared" si="3"/>
        <v>1.893939393939394E-2</v>
      </c>
      <c r="G42" s="105">
        <v>2013</v>
      </c>
      <c r="H42" s="109"/>
      <c r="I42" s="107" t="s">
        <v>1538</v>
      </c>
      <c r="J42" s="83" t="s">
        <v>1454</v>
      </c>
      <c r="K42" s="112"/>
    </row>
    <row r="43" spans="1:11" s="12" customFormat="1" ht="30" x14ac:dyDescent="0.25">
      <c r="A43" s="12" t="s">
        <v>8</v>
      </c>
      <c r="B43" s="11" t="s">
        <v>517</v>
      </c>
      <c r="C43" s="11" t="s">
        <v>1526</v>
      </c>
      <c r="D43" s="104" t="s">
        <v>1531</v>
      </c>
      <c r="E43" s="10">
        <v>80</v>
      </c>
      <c r="F43" s="72">
        <f t="shared" si="3"/>
        <v>1.5151515151515152E-2</v>
      </c>
      <c r="G43" s="105">
        <v>2013</v>
      </c>
      <c r="H43" s="109"/>
      <c r="I43" s="107" t="s">
        <v>1539</v>
      </c>
      <c r="J43" s="83" t="s">
        <v>1540</v>
      </c>
      <c r="K43" s="112"/>
    </row>
    <row r="44" spans="1:11" s="12" customFormat="1" ht="30" x14ac:dyDescent="0.25">
      <c r="A44" s="12" t="s">
        <v>8</v>
      </c>
      <c r="B44" s="11" t="s">
        <v>517</v>
      </c>
      <c r="C44" s="11" t="s">
        <v>1526</v>
      </c>
      <c r="D44" s="104" t="s">
        <v>1532</v>
      </c>
      <c r="E44" s="10">
        <v>75</v>
      </c>
      <c r="F44" s="72">
        <f t="shared" si="3"/>
        <v>1.4204545454545454E-2</v>
      </c>
      <c r="G44" s="105">
        <v>2013</v>
      </c>
      <c r="H44" s="109"/>
      <c r="I44" s="107" t="s">
        <v>1541</v>
      </c>
      <c r="J44" s="83" t="s">
        <v>1542</v>
      </c>
      <c r="K44" s="112"/>
    </row>
    <row r="45" spans="1:11" s="12" customFormat="1" ht="30" x14ac:dyDescent="0.25">
      <c r="A45" s="12" t="s">
        <v>8</v>
      </c>
      <c r="B45" s="11" t="s">
        <v>517</v>
      </c>
      <c r="C45" s="11" t="s">
        <v>1526</v>
      </c>
      <c r="D45" s="104" t="s">
        <v>1543</v>
      </c>
      <c r="E45" s="10">
        <v>140</v>
      </c>
      <c r="F45" s="72">
        <f t="shared" si="3"/>
        <v>2.6515151515151516E-2</v>
      </c>
      <c r="G45" s="105">
        <v>2013</v>
      </c>
      <c r="H45" s="109"/>
      <c r="I45" s="107" t="s">
        <v>1548</v>
      </c>
      <c r="J45" s="83" t="s">
        <v>1447</v>
      </c>
      <c r="K45" s="112"/>
    </row>
    <row r="46" spans="1:11" ht="90" x14ac:dyDescent="0.25">
      <c r="A46" s="12" t="s">
        <v>8</v>
      </c>
      <c r="B46" s="12" t="s">
        <v>517</v>
      </c>
      <c r="C46" s="12" t="s">
        <v>1544</v>
      </c>
      <c r="D46" s="112" t="s">
        <v>1554</v>
      </c>
      <c r="E46" s="105">
        <v>5280</v>
      </c>
      <c r="F46" s="72">
        <f>E46/5280</f>
        <v>1</v>
      </c>
      <c r="G46" s="105" t="s">
        <v>158</v>
      </c>
      <c r="H46" s="67">
        <v>2010</v>
      </c>
      <c r="I46" s="112" t="s">
        <v>166</v>
      </c>
      <c r="J46" s="107" t="s">
        <v>165</v>
      </c>
    </row>
    <row r="47" spans="1:11" s="60" customFormat="1" ht="60" x14ac:dyDescent="0.25">
      <c r="A47" s="60" t="s">
        <v>8</v>
      </c>
      <c r="B47" s="60" t="s">
        <v>517</v>
      </c>
      <c r="C47" s="60" t="s">
        <v>1544</v>
      </c>
      <c r="D47" s="83" t="s">
        <v>1555</v>
      </c>
      <c r="E47" s="249">
        <v>4000</v>
      </c>
      <c r="F47" s="27">
        <f>390/5280</f>
        <v>7.3863636363636367E-2</v>
      </c>
      <c r="G47" s="62">
        <v>2013</v>
      </c>
      <c r="I47" s="83" t="s">
        <v>1550</v>
      </c>
      <c r="J47" s="83" t="s">
        <v>1556</v>
      </c>
    </row>
    <row r="48" spans="1:11" s="12" customFormat="1" ht="30" x14ac:dyDescent="0.25">
      <c r="A48" s="12" t="s">
        <v>8</v>
      </c>
      <c r="B48" s="11" t="s">
        <v>517</v>
      </c>
      <c r="C48" s="11" t="s">
        <v>1544</v>
      </c>
      <c r="D48" s="104" t="s">
        <v>1545</v>
      </c>
      <c r="E48" s="105">
        <v>45</v>
      </c>
      <c r="F48" s="133" t="s">
        <v>853</v>
      </c>
      <c r="G48" s="105">
        <v>2013</v>
      </c>
      <c r="H48" s="109"/>
      <c r="I48" s="107" t="s">
        <v>1549</v>
      </c>
      <c r="J48" s="83" t="s">
        <v>1376</v>
      </c>
      <c r="K48" s="112"/>
    </row>
    <row r="49" spans="1:11" s="279" customFormat="1" ht="150" x14ac:dyDescent="0.25">
      <c r="A49" s="279" t="s">
        <v>8</v>
      </c>
      <c r="B49" s="142" t="s">
        <v>517</v>
      </c>
      <c r="C49" s="142" t="s">
        <v>1544</v>
      </c>
      <c r="D49" s="144" t="s">
        <v>1547</v>
      </c>
      <c r="E49" s="139">
        <v>13118</v>
      </c>
      <c r="F49" s="140">
        <f>1318/5280</f>
        <v>0.24962121212121213</v>
      </c>
      <c r="G49" s="254" t="s">
        <v>154</v>
      </c>
      <c r="H49" s="153"/>
      <c r="I49" s="144" t="s">
        <v>1550</v>
      </c>
      <c r="J49" s="151" t="s">
        <v>1557</v>
      </c>
      <c r="K49" s="151"/>
    </row>
    <row r="50" spans="1:11" s="12" customFormat="1" ht="60" x14ac:dyDescent="0.25">
      <c r="A50" s="12" t="s">
        <v>8</v>
      </c>
      <c r="B50" s="11" t="s">
        <v>517</v>
      </c>
      <c r="C50" s="11" t="s">
        <v>1544</v>
      </c>
      <c r="D50" s="107" t="s">
        <v>1546</v>
      </c>
      <c r="E50" s="16">
        <v>5300</v>
      </c>
      <c r="F50" s="72">
        <f>5230/5280</f>
        <v>0.99053030303030298</v>
      </c>
      <c r="G50" s="292">
        <v>2013</v>
      </c>
      <c r="H50" s="109"/>
      <c r="I50" s="107" t="s">
        <v>1550</v>
      </c>
      <c r="J50" s="83" t="s">
        <v>1551</v>
      </c>
      <c r="K50" s="112"/>
    </row>
    <row r="51" spans="1:11" s="12" customFormat="1" ht="45" x14ac:dyDescent="0.25">
      <c r="A51" s="12" t="s">
        <v>8</v>
      </c>
      <c r="B51" s="11" t="s">
        <v>517</v>
      </c>
      <c r="C51" s="11" t="s">
        <v>1544</v>
      </c>
      <c r="D51" s="104" t="s">
        <v>1558</v>
      </c>
      <c r="E51" s="105">
        <v>900</v>
      </c>
      <c r="F51" s="72">
        <f t="shared" si="3"/>
        <v>0.17045454545454544</v>
      </c>
      <c r="G51" s="105" t="s">
        <v>536</v>
      </c>
      <c r="H51" s="109"/>
      <c r="I51" s="107" t="s">
        <v>1552</v>
      </c>
      <c r="J51" s="83" t="s">
        <v>1553</v>
      </c>
      <c r="K51" s="112"/>
    </row>
    <row r="52" spans="1:11" s="12" customFormat="1" ht="45" x14ac:dyDescent="0.25">
      <c r="A52" s="12" t="s">
        <v>8</v>
      </c>
      <c r="B52" s="11" t="s">
        <v>517</v>
      </c>
      <c r="C52" s="11" t="s">
        <v>1560</v>
      </c>
      <c r="D52" s="104" t="s">
        <v>1559</v>
      </c>
      <c r="E52" s="105" t="s">
        <v>249</v>
      </c>
      <c r="F52" s="72" t="s">
        <v>249</v>
      </c>
      <c r="G52" s="105" t="s">
        <v>158</v>
      </c>
      <c r="H52" s="109" t="s">
        <v>207</v>
      </c>
      <c r="I52" s="107" t="s">
        <v>1384</v>
      </c>
      <c r="J52" s="107" t="s">
        <v>1561</v>
      </c>
      <c r="K52" s="112"/>
    </row>
    <row r="53" spans="1:11" s="12" customFormat="1" ht="30" x14ac:dyDescent="0.25">
      <c r="A53" s="12" t="s">
        <v>8</v>
      </c>
      <c r="B53" s="11" t="s">
        <v>517</v>
      </c>
      <c r="C53" s="11" t="s">
        <v>1562</v>
      </c>
      <c r="D53" s="104" t="s">
        <v>1563</v>
      </c>
      <c r="E53" s="105">
        <v>603</v>
      </c>
      <c r="F53" s="72">
        <f t="shared" ref="F53:F56" si="4">E53/5280</f>
        <v>0.11420454545454546</v>
      </c>
      <c r="G53" s="105">
        <v>2013</v>
      </c>
      <c r="H53" s="109"/>
      <c r="I53" s="107" t="s">
        <v>1567</v>
      </c>
      <c r="J53" s="83" t="s">
        <v>1486</v>
      </c>
      <c r="K53" s="112"/>
    </row>
    <row r="54" spans="1:11" s="12" customFormat="1" ht="30" x14ac:dyDescent="0.25">
      <c r="A54" s="12" t="s">
        <v>8</v>
      </c>
      <c r="B54" s="11" t="s">
        <v>517</v>
      </c>
      <c r="C54" s="11" t="s">
        <v>1562</v>
      </c>
      <c r="D54" s="104" t="s">
        <v>1564</v>
      </c>
      <c r="E54" s="105">
        <v>210</v>
      </c>
      <c r="F54" s="72">
        <f t="shared" si="4"/>
        <v>3.9772727272727272E-2</v>
      </c>
      <c r="G54" s="105">
        <v>2013</v>
      </c>
      <c r="H54" s="109"/>
      <c r="I54" s="107" t="s">
        <v>1568</v>
      </c>
      <c r="J54" s="83" t="s">
        <v>1569</v>
      </c>
      <c r="K54" s="112"/>
    </row>
    <row r="55" spans="1:11" s="12" customFormat="1" ht="30" x14ac:dyDescent="0.25">
      <c r="A55" s="12" t="s">
        <v>8</v>
      </c>
      <c r="B55" s="11" t="s">
        <v>517</v>
      </c>
      <c r="C55" s="11" t="s">
        <v>1565</v>
      </c>
      <c r="D55" s="104" t="s">
        <v>1566</v>
      </c>
      <c r="E55" s="105">
        <v>200</v>
      </c>
      <c r="F55" s="72">
        <f t="shared" si="4"/>
        <v>3.787878787878788E-2</v>
      </c>
      <c r="G55" s="105">
        <v>2013</v>
      </c>
      <c r="H55" s="109"/>
      <c r="I55" s="107" t="s">
        <v>1570</v>
      </c>
      <c r="J55" s="83" t="s">
        <v>1447</v>
      </c>
      <c r="K55" s="112"/>
    </row>
    <row r="56" spans="1:11" s="12" customFormat="1" ht="30" x14ac:dyDescent="0.25">
      <c r="A56" s="12" t="s">
        <v>8</v>
      </c>
      <c r="B56" s="11" t="s">
        <v>517</v>
      </c>
      <c r="C56" s="11" t="s">
        <v>1565</v>
      </c>
      <c r="D56" s="104" t="s">
        <v>1573</v>
      </c>
      <c r="E56" s="16">
        <v>1050</v>
      </c>
      <c r="F56" s="72">
        <f t="shared" si="4"/>
        <v>0.19886363636363635</v>
      </c>
      <c r="G56" s="105">
        <v>2013</v>
      </c>
      <c r="H56" s="109"/>
      <c r="I56" s="107" t="s">
        <v>1571</v>
      </c>
      <c r="J56" s="83" t="s">
        <v>1572</v>
      </c>
      <c r="K56" s="112"/>
    </row>
    <row r="57" spans="1:11" s="12" customFormat="1" ht="90" x14ac:dyDescent="0.25">
      <c r="A57" s="12" t="s">
        <v>8</v>
      </c>
      <c r="B57" s="12" t="s">
        <v>1577</v>
      </c>
      <c r="C57" s="12" t="s">
        <v>1460</v>
      </c>
      <c r="D57" s="12" t="s">
        <v>1574</v>
      </c>
      <c r="E57" s="67" t="s">
        <v>249</v>
      </c>
      <c r="F57" s="62" t="s">
        <v>249</v>
      </c>
      <c r="G57" s="67" t="s">
        <v>194</v>
      </c>
      <c r="H57" s="67"/>
      <c r="I57" s="12" t="s">
        <v>195</v>
      </c>
      <c r="J57" s="122" t="s">
        <v>1575</v>
      </c>
    </row>
    <row r="58" spans="1:11" s="12" customFormat="1" ht="30" x14ac:dyDescent="0.25">
      <c r="A58" s="12" t="s">
        <v>8</v>
      </c>
      <c r="B58" s="12" t="s">
        <v>1577</v>
      </c>
      <c r="C58" s="12" t="s">
        <v>1576</v>
      </c>
      <c r="D58" s="107" t="s">
        <v>1580</v>
      </c>
      <c r="E58" s="105">
        <v>435</v>
      </c>
      <c r="F58" s="72">
        <f t="shared" ref="F58:F60" si="5">E58/5280</f>
        <v>8.2386363636363633E-2</v>
      </c>
      <c r="G58" s="67">
        <v>2013</v>
      </c>
      <c r="H58" s="67"/>
      <c r="I58" s="107" t="s">
        <v>1578</v>
      </c>
      <c r="J58" s="83" t="s">
        <v>1579</v>
      </c>
    </row>
    <row r="59" spans="1:11" s="12" customFormat="1" ht="30" x14ac:dyDescent="0.25">
      <c r="A59" s="12" t="s">
        <v>8</v>
      </c>
      <c r="B59" s="11" t="s">
        <v>1577</v>
      </c>
      <c r="C59" s="11" t="s">
        <v>1584</v>
      </c>
      <c r="D59" s="104" t="s">
        <v>1586</v>
      </c>
      <c r="E59" s="105">
        <v>370</v>
      </c>
      <c r="F59" s="72">
        <f>E59/5280</f>
        <v>7.0075757575757569E-2</v>
      </c>
      <c r="G59" s="67">
        <v>2013</v>
      </c>
      <c r="H59" s="67"/>
      <c r="I59" s="107" t="s">
        <v>1585</v>
      </c>
      <c r="J59" s="83" t="s">
        <v>1540</v>
      </c>
    </row>
    <row r="60" spans="1:11" s="12" customFormat="1" ht="60" x14ac:dyDescent="0.25">
      <c r="A60" s="12" t="s">
        <v>8</v>
      </c>
      <c r="B60" s="12" t="s">
        <v>1577</v>
      </c>
      <c r="C60" s="12" t="s">
        <v>1584</v>
      </c>
      <c r="D60" s="12" t="s">
        <v>1583</v>
      </c>
      <c r="E60" s="105">
        <v>390</v>
      </c>
      <c r="F60" s="72">
        <f t="shared" si="5"/>
        <v>7.3863636363636367E-2</v>
      </c>
      <c r="G60" s="67">
        <v>2012</v>
      </c>
      <c r="H60" s="67">
        <v>2013</v>
      </c>
      <c r="I60" s="112" t="s">
        <v>1581</v>
      </c>
      <c r="J60" s="82" t="s">
        <v>1582</v>
      </c>
    </row>
    <row r="61" spans="1:11" s="12" customFormat="1" ht="45" x14ac:dyDescent="0.25">
      <c r="A61" s="12" t="s">
        <v>8</v>
      </c>
      <c r="B61" s="12" t="s">
        <v>1577</v>
      </c>
      <c r="C61" s="12" t="s">
        <v>1461</v>
      </c>
      <c r="D61" s="12" t="s">
        <v>1587</v>
      </c>
      <c r="E61" s="67">
        <v>3000</v>
      </c>
      <c r="F61" s="121">
        <f>E61/5280</f>
        <v>0.56818181818181823</v>
      </c>
      <c r="G61" s="67">
        <v>1990</v>
      </c>
      <c r="H61" s="67" t="s">
        <v>156</v>
      </c>
      <c r="I61" s="12" t="s">
        <v>293</v>
      </c>
      <c r="J61" s="112" t="s">
        <v>232</v>
      </c>
      <c r="K61" s="60"/>
    </row>
    <row r="63" spans="1:11" x14ac:dyDescent="0.25">
      <c r="D63" s="25" t="s">
        <v>6</v>
      </c>
      <c r="E63" s="293">
        <f>SUM(E2:E61)</f>
        <v>60642</v>
      </c>
      <c r="F63" s="100">
        <f>SUM(F2:F61)-F64</f>
        <v>6.5594696969696979</v>
      </c>
      <c r="G63" s="294" t="s">
        <v>320</v>
      </c>
      <c r="H63" s="3"/>
    </row>
    <row r="64" spans="1:11" x14ac:dyDescent="0.25">
      <c r="F64" s="73">
        <f>F49+F35+F34+F33+F3</f>
        <v>1.9465909090909093</v>
      </c>
      <c r="G64" s="14" t="s">
        <v>154</v>
      </c>
      <c r="H64" s="3"/>
    </row>
    <row r="65" spans="1:10" s="98" customFormat="1" x14ac:dyDescent="0.25">
      <c r="F65" s="355"/>
      <c r="H65" s="91"/>
      <c r="J65" s="99"/>
    </row>
    <row r="66" spans="1:10" x14ac:dyDescent="0.25">
      <c r="E66" s="5"/>
      <c r="F66" s="6"/>
    </row>
    <row r="67" spans="1:10" x14ac:dyDescent="0.25">
      <c r="A67" s="14" t="s">
        <v>247</v>
      </c>
      <c r="B67" s="124" t="s">
        <v>284</v>
      </c>
      <c r="C67"/>
    </row>
    <row r="68" spans="1:10" x14ac:dyDescent="0.25">
      <c r="A68" s="14"/>
      <c r="B68" s="124" t="s">
        <v>248</v>
      </c>
      <c r="C68"/>
    </row>
    <row r="69" spans="1:10" x14ac:dyDescent="0.25">
      <c r="A69" s="14"/>
      <c r="B69" s="124" t="s">
        <v>1411</v>
      </c>
      <c r="C69"/>
    </row>
    <row r="70" spans="1:10" x14ac:dyDescent="0.25">
      <c r="A70" s="14"/>
      <c r="B70" s="125" t="s">
        <v>484</v>
      </c>
      <c r="C70" s="29"/>
    </row>
    <row r="71" spans="1:10" x14ac:dyDescent="0.25">
      <c r="B71" s="11"/>
      <c r="C71" s="234" t="s">
        <v>483</v>
      </c>
    </row>
    <row r="75" spans="1:10" x14ac:dyDescent="0.25">
      <c r="E75" s="118"/>
    </row>
    <row r="76" spans="1:10" x14ac:dyDescent="0.25">
      <c r="E76" s="118"/>
    </row>
    <row r="77" spans="1:10" x14ac:dyDescent="0.25">
      <c r="E77" s="118"/>
    </row>
    <row r="78" spans="1:10" x14ac:dyDescent="0.25">
      <c r="E78" s="118"/>
    </row>
    <row r="79" spans="1:10" x14ac:dyDescent="0.25">
      <c r="E79" s="118"/>
    </row>
    <row r="80" spans="1:10" x14ac:dyDescent="0.25">
      <c r="E80" s="118"/>
    </row>
    <row r="81" spans="5:5" x14ac:dyDescent="0.25">
      <c r="E81" s="118"/>
    </row>
    <row r="82" spans="5:5" x14ac:dyDescent="0.25">
      <c r="E82" s="118"/>
    </row>
    <row r="83" spans="5:5" x14ac:dyDescent="0.25">
      <c r="E83" s="118"/>
    </row>
    <row r="84" spans="5:5" x14ac:dyDescent="0.25">
      <c r="E84" s="118"/>
    </row>
    <row r="85" spans="5:5" x14ac:dyDescent="0.25">
      <c r="E85" s="118"/>
    </row>
    <row r="86" spans="5:5" x14ac:dyDescent="0.25">
      <c r="E86" s="118"/>
    </row>
    <row r="87" spans="5:5" x14ac:dyDescent="0.25">
      <c r="E87" s="118"/>
    </row>
    <row r="88" spans="5:5" x14ac:dyDescent="0.25">
      <c r="E88" s="118"/>
    </row>
    <row r="90" spans="5:5" x14ac:dyDescent="0.25">
      <c r="E90" s="118"/>
    </row>
    <row r="92" spans="5:5" x14ac:dyDescent="0.25">
      <c r="E92" s="119"/>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workbookViewId="0"/>
  </sheetViews>
  <sheetFormatPr defaultRowHeight="15" x14ac:dyDescent="0.25"/>
  <cols>
    <col min="1" max="1" width="12" customWidth="1"/>
    <col min="2" max="2" width="12" style="104" customWidth="1"/>
    <col min="3" max="3" width="17.7109375" style="104" customWidth="1"/>
    <col min="4" max="4" width="38.5703125" style="34" customWidth="1"/>
    <col min="5" max="6" width="14.85546875" customWidth="1"/>
    <col min="7" max="7" width="11.42578125" style="2" customWidth="1"/>
    <col min="8" max="8" width="15" style="34" customWidth="1"/>
    <col min="9" max="9" width="26.7109375" style="34" customWidth="1"/>
    <col min="10" max="10" width="76" style="107" customWidth="1"/>
    <col min="11" max="11" width="32.7109375" customWidth="1"/>
  </cols>
  <sheetData>
    <row r="1" spans="1:11" s="1" customFormat="1" ht="90" x14ac:dyDescent="0.25">
      <c r="A1" s="1" t="s">
        <v>0</v>
      </c>
      <c r="B1" s="1" t="s">
        <v>263</v>
      </c>
      <c r="C1" s="1" t="s">
        <v>264</v>
      </c>
      <c r="D1" s="1" t="s">
        <v>1</v>
      </c>
      <c r="E1" s="1" t="s">
        <v>5</v>
      </c>
      <c r="F1" s="1" t="s">
        <v>3</v>
      </c>
      <c r="G1" s="1" t="s">
        <v>2</v>
      </c>
      <c r="H1" s="48" t="s">
        <v>267</v>
      </c>
      <c r="I1" s="1" t="s">
        <v>4</v>
      </c>
      <c r="J1" s="1" t="s">
        <v>7</v>
      </c>
    </row>
    <row r="2" spans="1:11" s="1" customFormat="1" ht="30" x14ac:dyDescent="0.25">
      <c r="A2" t="s">
        <v>9</v>
      </c>
      <c r="B2" s="104" t="s">
        <v>517</v>
      </c>
      <c r="C2" s="104" t="s">
        <v>378</v>
      </c>
      <c r="D2" s="9" t="s">
        <v>1627</v>
      </c>
      <c r="E2" s="15" t="s">
        <v>249</v>
      </c>
      <c r="F2" s="15" t="s">
        <v>249</v>
      </c>
      <c r="G2" s="15">
        <v>1974</v>
      </c>
      <c r="H2" s="15"/>
      <c r="I2" s="34" t="s">
        <v>118</v>
      </c>
      <c r="J2" s="108" t="s">
        <v>1591</v>
      </c>
    </row>
    <row r="3" spans="1:11" s="1" customFormat="1" ht="90" x14ac:dyDescent="0.25">
      <c r="A3" t="s">
        <v>9</v>
      </c>
      <c r="B3" s="104" t="s">
        <v>517</v>
      </c>
      <c r="C3" s="104" t="s">
        <v>378</v>
      </c>
      <c r="D3" s="9" t="s">
        <v>1628</v>
      </c>
      <c r="E3" s="15" t="s">
        <v>249</v>
      </c>
      <c r="F3" s="15" t="s">
        <v>249</v>
      </c>
      <c r="G3" s="15">
        <v>1949</v>
      </c>
      <c r="H3" s="15" t="s">
        <v>233</v>
      </c>
      <c r="I3" s="34" t="s">
        <v>157</v>
      </c>
      <c r="J3" s="108" t="s">
        <v>1592</v>
      </c>
    </row>
    <row r="4" spans="1:11" s="235" customFormat="1" ht="120" x14ac:dyDescent="0.25">
      <c r="A4" s="235" t="s">
        <v>9</v>
      </c>
      <c r="B4" s="244" t="s">
        <v>517</v>
      </c>
      <c r="C4" s="244" t="s">
        <v>378</v>
      </c>
      <c r="D4" s="236" t="s">
        <v>1624</v>
      </c>
      <c r="E4" s="245">
        <v>5750</v>
      </c>
      <c r="F4" s="246">
        <f>5550/5280</f>
        <v>1.0511363636363635</v>
      </c>
      <c r="G4" s="235" t="s">
        <v>154</v>
      </c>
      <c r="I4" s="236" t="s">
        <v>1625</v>
      </c>
      <c r="J4" s="236" t="s">
        <v>1626</v>
      </c>
    </row>
    <row r="5" spans="1:11" s="117" customFormat="1" ht="45" x14ac:dyDescent="0.25">
      <c r="A5" s="104" t="s">
        <v>9</v>
      </c>
      <c r="B5" s="104" t="s">
        <v>517</v>
      </c>
      <c r="C5" s="104" t="s">
        <v>378</v>
      </c>
      <c r="D5" s="104" t="s">
        <v>1629</v>
      </c>
      <c r="E5" s="105">
        <v>200</v>
      </c>
      <c r="F5" s="72">
        <f>E5/5280</f>
        <v>3.787878787878788E-2</v>
      </c>
      <c r="G5" s="105">
        <v>2014</v>
      </c>
      <c r="I5" s="107" t="s">
        <v>1640</v>
      </c>
      <c r="J5" s="113" t="s">
        <v>1641</v>
      </c>
    </row>
    <row r="6" spans="1:11" s="117" customFormat="1" ht="30" x14ac:dyDescent="0.25">
      <c r="A6" s="104" t="s">
        <v>9</v>
      </c>
      <c r="B6" s="104" t="s">
        <v>517</v>
      </c>
      <c r="C6" s="104" t="s">
        <v>378</v>
      </c>
      <c r="D6" s="104" t="s">
        <v>1630</v>
      </c>
      <c r="E6" s="105">
        <v>200</v>
      </c>
      <c r="F6" s="72">
        <f t="shared" ref="F6:F23" si="0">E6/5280</f>
        <v>3.787878787878788E-2</v>
      </c>
      <c r="G6" s="105">
        <v>2014</v>
      </c>
      <c r="I6" s="107" t="s">
        <v>1642</v>
      </c>
      <c r="J6" s="107" t="s">
        <v>1486</v>
      </c>
    </row>
    <row r="7" spans="1:11" s="1" customFormat="1" ht="45" x14ac:dyDescent="0.25">
      <c r="A7" t="s">
        <v>9</v>
      </c>
      <c r="B7" s="104" t="s">
        <v>517</v>
      </c>
      <c r="C7" s="104" t="s">
        <v>1631</v>
      </c>
      <c r="D7" s="9" t="s">
        <v>1655</v>
      </c>
      <c r="E7" s="15" t="s">
        <v>249</v>
      </c>
      <c r="F7" s="15" t="s">
        <v>249</v>
      </c>
      <c r="G7" s="105" t="s">
        <v>158</v>
      </c>
      <c r="H7" s="15"/>
      <c r="I7" s="34" t="s">
        <v>22</v>
      </c>
      <c r="J7" s="289" t="s">
        <v>1593</v>
      </c>
    </row>
    <row r="8" spans="1:11" s="1" customFormat="1" ht="30" x14ac:dyDescent="0.25">
      <c r="A8" t="s">
        <v>9</v>
      </c>
      <c r="B8" s="104" t="s">
        <v>517</v>
      </c>
      <c r="C8" s="104" t="s">
        <v>1631</v>
      </c>
      <c r="D8" s="9" t="s">
        <v>1656</v>
      </c>
      <c r="E8" s="15" t="s">
        <v>249</v>
      </c>
      <c r="F8" s="15" t="s">
        <v>249</v>
      </c>
      <c r="G8" s="15">
        <v>1967</v>
      </c>
      <c r="H8" s="15" t="s">
        <v>24</v>
      </c>
      <c r="I8" s="9" t="s">
        <v>118</v>
      </c>
      <c r="J8" s="108" t="s">
        <v>1594</v>
      </c>
    </row>
    <row r="9" spans="1:11" s="117" customFormat="1" ht="75" x14ac:dyDescent="0.25">
      <c r="A9" s="117" t="s">
        <v>9</v>
      </c>
      <c r="B9" s="104" t="s">
        <v>517</v>
      </c>
      <c r="C9" s="104" t="s">
        <v>1631</v>
      </c>
      <c r="D9" s="107" t="s">
        <v>1657</v>
      </c>
      <c r="E9" s="16">
        <v>1400</v>
      </c>
      <c r="F9" s="72">
        <f t="shared" si="0"/>
        <v>0.26515151515151514</v>
      </c>
      <c r="G9" s="105">
        <v>1967</v>
      </c>
      <c r="H9" s="117" t="s">
        <v>1658</v>
      </c>
      <c r="I9" s="107" t="s">
        <v>1667</v>
      </c>
      <c r="J9" s="107" t="s">
        <v>1645</v>
      </c>
    </row>
    <row r="10" spans="1:11" s="117" customFormat="1" ht="30" x14ac:dyDescent="0.25">
      <c r="A10" s="104" t="s">
        <v>9</v>
      </c>
      <c r="B10" s="104" t="s">
        <v>517</v>
      </c>
      <c r="C10" s="104" t="s">
        <v>1631</v>
      </c>
      <c r="D10" s="104" t="s">
        <v>1632</v>
      </c>
      <c r="E10" s="105">
        <v>200</v>
      </c>
      <c r="F10" s="72">
        <f>E10/5280</f>
        <v>3.787878787878788E-2</v>
      </c>
      <c r="G10" s="105">
        <v>2014</v>
      </c>
      <c r="I10" s="107" t="s">
        <v>1643</v>
      </c>
      <c r="J10" s="107" t="s">
        <v>1644</v>
      </c>
    </row>
    <row r="11" spans="1:11" s="117" customFormat="1" ht="45" x14ac:dyDescent="0.25">
      <c r="A11" s="104" t="s">
        <v>9</v>
      </c>
      <c r="B11" s="104" t="s">
        <v>517</v>
      </c>
      <c r="C11" s="104" t="s">
        <v>1633</v>
      </c>
      <c r="D11" s="107" t="s">
        <v>1660</v>
      </c>
      <c r="E11" s="15" t="s">
        <v>249</v>
      </c>
      <c r="F11" s="15" t="s">
        <v>249</v>
      </c>
      <c r="G11" s="15" t="s">
        <v>158</v>
      </c>
      <c r="H11" s="15" t="s">
        <v>207</v>
      </c>
      <c r="I11" s="108" t="s">
        <v>22</v>
      </c>
      <c r="J11" s="108" t="s">
        <v>1659</v>
      </c>
    </row>
    <row r="12" spans="1:11" s="117" customFormat="1" ht="60" x14ac:dyDescent="0.25">
      <c r="A12" s="104" t="s">
        <v>9</v>
      </c>
      <c r="B12" s="104" t="s">
        <v>517</v>
      </c>
      <c r="C12" s="104" t="s">
        <v>1633</v>
      </c>
      <c r="D12" s="107" t="s">
        <v>1661</v>
      </c>
      <c r="E12" s="105">
        <v>120</v>
      </c>
      <c r="F12" s="72">
        <f t="shared" si="0"/>
        <v>2.2727272727272728E-2</v>
      </c>
      <c r="G12" s="105">
        <v>2015</v>
      </c>
      <c r="I12" s="107" t="s">
        <v>1646</v>
      </c>
      <c r="J12" s="107" t="s">
        <v>1647</v>
      </c>
    </row>
    <row r="13" spans="1:11" s="117" customFormat="1" ht="45" x14ac:dyDescent="0.25">
      <c r="A13" s="104" t="s">
        <v>9</v>
      </c>
      <c r="B13" s="104" t="s">
        <v>517</v>
      </c>
      <c r="C13" s="104" t="s">
        <v>1634</v>
      </c>
      <c r="D13" s="104" t="s">
        <v>1662</v>
      </c>
      <c r="E13" s="105">
        <v>192</v>
      </c>
      <c r="F13" s="72">
        <f t="shared" si="0"/>
        <v>3.6363636363636362E-2</v>
      </c>
      <c r="G13" s="105">
        <v>2015</v>
      </c>
      <c r="I13" s="107" t="s">
        <v>1663</v>
      </c>
      <c r="J13" s="107" t="s">
        <v>1664</v>
      </c>
    </row>
    <row r="14" spans="1:11" s="117" customFormat="1" ht="30" x14ac:dyDescent="0.25">
      <c r="A14" s="104" t="s">
        <v>9</v>
      </c>
      <c r="B14" s="104" t="s">
        <v>517</v>
      </c>
      <c r="C14" s="104" t="s">
        <v>1634</v>
      </c>
      <c r="D14" s="104" t="s">
        <v>1665</v>
      </c>
      <c r="E14" s="105">
        <v>200</v>
      </c>
      <c r="F14" s="72">
        <f t="shared" si="0"/>
        <v>3.787878787878788E-2</v>
      </c>
      <c r="G14" s="105">
        <v>2013</v>
      </c>
      <c r="I14" s="107" t="s">
        <v>1666</v>
      </c>
      <c r="J14" s="107" t="s">
        <v>1376</v>
      </c>
    </row>
    <row r="15" spans="1:11" s="117" customFormat="1" ht="75" x14ac:dyDescent="0.25">
      <c r="A15" s="117" t="s">
        <v>9</v>
      </c>
      <c r="B15" s="104" t="s">
        <v>517</v>
      </c>
      <c r="C15" s="104" t="s">
        <v>1634</v>
      </c>
      <c r="D15" s="104" t="s">
        <v>1668</v>
      </c>
      <c r="E15" s="16">
        <v>2000</v>
      </c>
      <c r="F15" s="72">
        <f t="shared" si="0"/>
        <v>0.37878787878787878</v>
      </c>
      <c r="G15" s="105">
        <v>1959</v>
      </c>
      <c r="H15" s="109" t="s">
        <v>26</v>
      </c>
      <c r="I15" s="107" t="s">
        <v>234</v>
      </c>
      <c r="J15" s="107" t="s">
        <v>1669</v>
      </c>
    </row>
    <row r="16" spans="1:11" s="1" customFormat="1" ht="60" x14ac:dyDescent="0.25">
      <c r="A16" t="s">
        <v>9</v>
      </c>
      <c r="B16" s="104" t="s">
        <v>517</v>
      </c>
      <c r="C16" s="104" t="s">
        <v>1634</v>
      </c>
      <c r="D16" s="9" t="s">
        <v>1670</v>
      </c>
      <c r="E16" s="295">
        <v>1200</v>
      </c>
      <c r="F16" s="72">
        <f t="shared" si="0"/>
        <v>0.22727272727272727</v>
      </c>
      <c r="G16" s="109">
        <v>1959</v>
      </c>
      <c r="H16" s="109" t="s">
        <v>26</v>
      </c>
      <c r="I16" s="9" t="s">
        <v>234</v>
      </c>
      <c r="J16" s="108" t="s">
        <v>1671</v>
      </c>
      <c r="K16" s="35"/>
    </row>
    <row r="17" spans="1:11" s="117" customFormat="1" ht="60" x14ac:dyDescent="0.25">
      <c r="A17" s="104" t="s">
        <v>9</v>
      </c>
      <c r="B17" s="104" t="s">
        <v>517</v>
      </c>
      <c r="C17" s="104" t="s">
        <v>1634</v>
      </c>
      <c r="D17" s="104" t="s">
        <v>1672</v>
      </c>
      <c r="E17" s="105">
        <v>167</v>
      </c>
      <c r="F17" s="72">
        <f>E17/5280</f>
        <v>3.1628787878787881E-2</v>
      </c>
      <c r="G17" s="105" t="s">
        <v>536</v>
      </c>
      <c r="I17" s="107" t="s">
        <v>1674</v>
      </c>
      <c r="J17" s="107" t="s">
        <v>1675</v>
      </c>
    </row>
    <row r="18" spans="1:11" s="117" customFormat="1" ht="60" x14ac:dyDescent="0.25">
      <c r="A18" s="104" t="s">
        <v>9</v>
      </c>
      <c r="B18" s="104" t="s">
        <v>517</v>
      </c>
      <c r="C18" s="104" t="s">
        <v>1634</v>
      </c>
      <c r="D18" s="104" t="s">
        <v>1673</v>
      </c>
      <c r="E18" s="105">
        <v>450</v>
      </c>
      <c r="F18" s="72">
        <f>E18/5280</f>
        <v>8.5227272727272721E-2</v>
      </c>
      <c r="G18" s="105" t="s">
        <v>536</v>
      </c>
      <c r="I18" s="107" t="s">
        <v>1676</v>
      </c>
      <c r="J18" s="107" t="s">
        <v>1677</v>
      </c>
    </row>
    <row r="19" spans="1:11" s="117" customFormat="1" ht="30" x14ac:dyDescent="0.25">
      <c r="A19" s="104" t="s">
        <v>9</v>
      </c>
      <c r="B19" s="104" t="s">
        <v>517</v>
      </c>
      <c r="C19" s="104" t="s">
        <v>1634</v>
      </c>
      <c r="D19" s="104" t="s">
        <v>1635</v>
      </c>
      <c r="E19" s="105">
        <v>230</v>
      </c>
      <c r="F19" s="72">
        <f t="shared" si="0"/>
        <v>4.3560606060606064E-2</v>
      </c>
      <c r="G19" s="105">
        <v>2014</v>
      </c>
      <c r="I19" s="107" t="s">
        <v>1648</v>
      </c>
      <c r="J19" s="107" t="s">
        <v>1649</v>
      </c>
    </row>
    <row r="20" spans="1:11" s="117" customFormat="1" ht="30" x14ac:dyDescent="0.25">
      <c r="A20" s="104" t="s">
        <v>9</v>
      </c>
      <c r="B20" s="104" t="s">
        <v>517</v>
      </c>
      <c r="C20" s="104" t="s">
        <v>1634</v>
      </c>
      <c r="D20" s="104" t="s">
        <v>1636</v>
      </c>
      <c r="E20" s="105">
        <v>125</v>
      </c>
      <c r="F20" s="72">
        <f t="shared" si="0"/>
        <v>2.3674242424242424E-2</v>
      </c>
      <c r="G20" s="105">
        <v>2013</v>
      </c>
      <c r="I20" s="107" t="s">
        <v>1650</v>
      </c>
      <c r="J20" s="107" t="s">
        <v>1454</v>
      </c>
    </row>
    <row r="21" spans="1:11" s="117" customFormat="1" ht="30" x14ac:dyDescent="0.25">
      <c r="A21" s="104" t="s">
        <v>9</v>
      </c>
      <c r="B21" s="104" t="s">
        <v>517</v>
      </c>
      <c r="C21" s="104" t="s">
        <v>1634</v>
      </c>
      <c r="D21" s="104" t="s">
        <v>1637</v>
      </c>
      <c r="E21" s="105">
        <v>114</v>
      </c>
      <c r="F21" s="72">
        <f t="shared" si="0"/>
        <v>2.1590909090909091E-2</v>
      </c>
      <c r="G21" s="105" t="s">
        <v>536</v>
      </c>
      <c r="I21" s="107" t="s">
        <v>1651</v>
      </c>
      <c r="J21" s="107" t="s">
        <v>1458</v>
      </c>
    </row>
    <row r="22" spans="1:11" s="117" customFormat="1" ht="30" x14ac:dyDescent="0.25">
      <c r="A22" s="104" t="s">
        <v>9</v>
      </c>
      <c r="B22" s="104" t="s">
        <v>517</v>
      </c>
      <c r="C22" s="104" t="s">
        <v>1634</v>
      </c>
      <c r="D22" s="104" t="s">
        <v>1638</v>
      </c>
      <c r="E22" s="105">
        <v>75</v>
      </c>
      <c r="F22" s="72">
        <f t="shared" si="0"/>
        <v>1.4204545454545454E-2</v>
      </c>
      <c r="G22" s="105">
        <v>2013</v>
      </c>
      <c r="I22" s="107" t="s">
        <v>1652</v>
      </c>
      <c r="J22" s="107" t="s">
        <v>1653</v>
      </c>
    </row>
    <row r="23" spans="1:11" s="117" customFormat="1" ht="30" x14ac:dyDescent="0.25">
      <c r="A23" s="104" t="s">
        <v>9</v>
      </c>
      <c r="B23" s="104" t="s">
        <v>517</v>
      </c>
      <c r="C23" s="104" t="s">
        <v>1634</v>
      </c>
      <c r="D23" s="104" t="s">
        <v>1639</v>
      </c>
      <c r="E23" s="105">
        <v>95</v>
      </c>
      <c r="F23" s="72">
        <f t="shared" si="0"/>
        <v>1.7992424242424244E-2</v>
      </c>
      <c r="G23" s="105">
        <v>2013</v>
      </c>
      <c r="I23" s="107" t="s">
        <v>1654</v>
      </c>
      <c r="J23" s="107" t="s">
        <v>1486</v>
      </c>
    </row>
    <row r="24" spans="1:11" ht="45" x14ac:dyDescent="0.25">
      <c r="A24" t="s">
        <v>9</v>
      </c>
      <c r="B24" s="104" t="s">
        <v>517</v>
      </c>
      <c r="C24" s="104" t="s">
        <v>1634</v>
      </c>
      <c r="D24" s="34" t="s">
        <v>1678</v>
      </c>
      <c r="E24" s="2" t="s">
        <v>249</v>
      </c>
      <c r="F24" s="2" t="s">
        <v>249</v>
      </c>
      <c r="G24" s="105" t="s">
        <v>158</v>
      </c>
      <c r="H24" s="38"/>
      <c r="I24" s="34" t="s">
        <v>23</v>
      </c>
      <c r="J24" s="107" t="s">
        <v>1679</v>
      </c>
    </row>
    <row r="25" spans="1:11" ht="30" x14ac:dyDescent="0.25">
      <c r="A25" s="104" t="s">
        <v>9</v>
      </c>
      <c r="B25" s="104" t="s">
        <v>517</v>
      </c>
      <c r="C25" s="104" t="s">
        <v>1634</v>
      </c>
      <c r="D25" s="104" t="s">
        <v>1680</v>
      </c>
      <c r="E25" s="105">
        <v>110</v>
      </c>
      <c r="F25" s="72">
        <f t="shared" ref="F25:F39" si="1">E25/5280</f>
        <v>2.0833333333333332E-2</v>
      </c>
      <c r="G25" s="105" t="s">
        <v>908</v>
      </c>
      <c r="I25" s="107" t="s">
        <v>1686</v>
      </c>
      <c r="J25" s="107" t="s">
        <v>1687</v>
      </c>
    </row>
    <row r="26" spans="1:11" ht="45" x14ac:dyDescent="0.25">
      <c r="A26" t="s">
        <v>9</v>
      </c>
      <c r="B26" s="104" t="s">
        <v>517</v>
      </c>
      <c r="C26" s="104" t="s">
        <v>1634</v>
      </c>
      <c r="D26" s="34" t="s">
        <v>1695</v>
      </c>
      <c r="E26" s="2" t="s">
        <v>249</v>
      </c>
      <c r="F26" s="2" t="s">
        <v>249</v>
      </c>
      <c r="G26" s="67">
        <v>1958</v>
      </c>
      <c r="H26" s="109" t="s">
        <v>25</v>
      </c>
      <c r="I26" s="34" t="s">
        <v>118</v>
      </c>
      <c r="J26" s="108" t="s">
        <v>1595</v>
      </c>
      <c r="K26" s="35"/>
    </row>
    <row r="27" spans="1:11" ht="45" x14ac:dyDescent="0.25">
      <c r="A27" t="s">
        <v>9</v>
      </c>
      <c r="B27" s="104" t="s">
        <v>517</v>
      </c>
      <c r="C27" s="104" t="s">
        <v>1681</v>
      </c>
      <c r="D27" s="34" t="s">
        <v>1696</v>
      </c>
      <c r="E27" s="2" t="s">
        <v>249</v>
      </c>
      <c r="F27" s="2" t="s">
        <v>249</v>
      </c>
      <c r="G27" s="67">
        <v>1958</v>
      </c>
      <c r="H27" s="109" t="s">
        <v>235</v>
      </c>
      <c r="I27" s="34" t="s">
        <v>236</v>
      </c>
      <c r="J27" s="107" t="s">
        <v>1596</v>
      </c>
      <c r="K27" s="35"/>
    </row>
    <row r="28" spans="1:11" s="1" customFormat="1" ht="45" x14ac:dyDescent="0.25">
      <c r="A28" s="104" t="s">
        <v>9</v>
      </c>
      <c r="B28" s="104" t="s">
        <v>517</v>
      </c>
      <c r="C28" s="104" t="s">
        <v>1681</v>
      </c>
      <c r="D28" s="104" t="s">
        <v>1682</v>
      </c>
      <c r="E28" s="105">
        <v>427</v>
      </c>
      <c r="F28" s="72">
        <f t="shared" si="1"/>
        <v>8.0871212121212122E-2</v>
      </c>
      <c r="G28" s="105">
        <v>2013</v>
      </c>
      <c r="I28" s="107" t="s">
        <v>1688</v>
      </c>
      <c r="J28" s="107" t="s">
        <v>1689</v>
      </c>
    </row>
    <row r="29" spans="1:11" s="1" customFormat="1" ht="60" x14ac:dyDescent="0.25">
      <c r="A29" s="104" t="s">
        <v>9</v>
      </c>
      <c r="B29" s="104" t="s">
        <v>517</v>
      </c>
      <c r="C29" s="104" t="s">
        <v>1681</v>
      </c>
      <c r="D29" s="104" t="s">
        <v>1683</v>
      </c>
      <c r="E29" s="105">
        <v>512</v>
      </c>
      <c r="F29" s="72">
        <f t="shared" si="1"/>
        <v>9.696969696969697E-2</v>
      </c>
      <c r="G29" s="105">
        <v>2013</v>
      </c>
      <c r="H29" s="109"/>
      <c r="I29" s="107" t="s">
        <v>1690</v>
      </c>
      <c r="J29" s="107" t="s">
        <v>1689</v>
      </c>
      <c r="K29" s="35"/>
    </row>
    <row r="30" spans="1:11" ht="45" x14ac:dyDescent="0.25">
      <c r="A30" s="104" t="s">
        <v>9</v>
      </c>
      <c r="B30" s="104" t="s">
        <v>517</v>
      </c>
      <c r="C30" s="104" t="s">
        <v>1681</v>
      </c>
      <c r="D30" s="104" t="s">
        <v>1684</v>
      </c>
      <c r="E30" s="105">
        <v>538</v>
      </c>
      <c r="F30" s="72">
        <f t="shared" si="1"/>
        <v>0.1018939393939394</v>
      </c>
      <c r="G30" s="105">
        <v>2013</v>
      </c>
      <c r="I30" s="107" t="s">
        <v>1691</v>
      </c>
      <c r="J30" s="107" t="s">
        <v>1692</v>
      </c>
    </row>
    <row r="31" spans="1:11" ht="30" x14ac:dyDescent="0.25">
      <c r="A31" s="104" t="s">
        <v>9</v>
      </c>
      <c r="B31" s="104" t="s">
        <v>517</v>
      </c>
      <c r="C31" s="104" t="s">
        <v>1681</v>
      </c>
      <c r="D31" s="104" t="s">
        <v>1685</v>
      </c>
      <c r="E31" s="105">
        <v>162</v>
      </c>
      <c r="F31" s="72">
        <f t="shared" si="1"/>
        <v>3.0681818181818182E-2</v>
      </c>
      <c r="G31" s="105">
        <v>2013</v>
      </c>
      <c r="I31" s="107" t="s">
        <v>1693</v>
      </c>
      <c r="J31" s="107" t="s">
        <v>1694</v>
      </c>
    </row>
    <row r="32" spans="1:11" s="104" customFormat="1" ht="105" x14ac:dyDescent="0.25">
      <c r="A32" s="104" t="s">
        <v>9</v>
      </c>
      <c r="B32" s="104" t="s">
        <v>517</v>
      </c>
      <c r="C32" s="104" t="s">
        <v>1681</v>
      </c>
      <c r="D32" s="104" t="s">
        <v>1697</v>
      </c>
      <c r="E32" s="16">
        <v>1185</v>
      </c>
      <c r="F32" s="72">
        <f t="shared" si="1"/>
        <v>0.22443181818181818</v>
      </c>
      <c r="G32" s="105" t="s">
        <v>1703</v>
      </c>
      <c r="H32" s="107"/>
      <c r="I32" s="107" t="s">
        <v>1704</v>
      </c>
      <c r="J32" s="107" t="s">
        <v>1705</v>
      </c>
    </row>
    <row r="33" spans="1:11" ht="45" x14ac:dyDescent="0.25">
      <c r="A33" t="s">
        <v>9</v>
      </c>
      <c r="B33" s="104" t="s">
        <v>517</v>
      </c>
      <c r="C33" s="104" t="s">
        <v>1681</v>
      </c>
      <c r="D33" s="34" t="s">
        <v>1710</v>
      </c>
      <c r="E33" s="2" t="s">
        <v>249</v>
      </c>
      <c r="F33" s="2" t="s">
        <v>249</v>
      </c>
      <c r="G33" s="105" t="s">
        <v>158</v>
      </c>
      <c r="H33" s="38"/>
      <c r="I33" s="34" t="s">
        <v>22</v>
      </c>
      <c r="J33" s="107" t="s">
        <v>237</v>
      </c>
      <c r="K33" s="35"/>
    </row>
    <row r="34" spans="1:11" ht="30" x14ac:dyDescent="0.25">
      <c r="A34" t="s">
        <v>9</v>
      </c>
      <c r="B34" s="104" t="s">
        <v>517</v>
      </c>
      <c r="C34" s="104" t="s">
        <v>1681</v>
      </c>
      <c r="D34" s="34" t="s">
        <v>1711</v>
      </c>
      <c r="E34" s="2" t="s">
        <v>249</v>
      </c>
      <c r="F34" s="2" t="s">
        <v>249</v>
      </c>
      <c r="G34" s="2">
        <v>1961</v>
      </c>
      <c r="H34" s="38" t="s">
        <v>238</v>
      </c>
      <c r="I34" s="34" t="s">
        <v>118</v>
      </c>
      <c r="J34" s="107" t="s">
        <v>27</v>
      </c>
    </row>
    <row r="35" spans="1:11" ht="60" x14ac:dyDescent="0.25">
      <c r="A35" t="s">
        <v>9</v>
      </c>
      <c r="B35" s="104" t="s">
        <v>517</v>
      </c>
      <c r="C35" s="104" t="s">
        <v>1681</v>
      </c>
      <c r="D35" s="34" t="s">
        <v>1712</v>
      </c>
      <c r="E35" s="2" t="s">
        <v>249</v>
      </c>
      <c r="F35" s="2" t="s">
        <v>249</v>
      </c>
      <c r="G35" s="2" t="s">
        <v>158</v>
      </c>
      <c r="H35" s="38"/>
      <c r="I35" s="34" t="s">
        <v>22</v>
      </c>
      <c r="J35" s="107" t="s">
        <v>1597</v>
      </c>
      <c r="K35" s="35"/>
    </row>
    <row r="36" spans="1:11" s="104" customFormat="1" ht="30" x14ac:dyDescent="0.25">
      <c r="A36" s="104" t="s">
        <v>9</v>
      </c>
      <c r="B36" s="104" t="s">
        <v>517</v>
      </c>
      <c r="C36" s="104" t="s">
        <v>1698</v>
      </c>
      <c r="D36" s="104" t="s">
        <v>1699</v>
      </c>
      <c r="E36" s="16">
        <v>50</v>
      </c>
      <c r="F36" s="72">
        <f t="shared" si="1"/>
        <v>9.46969696969697E-3</v>
      </c>
      <c r="G36" s="105">
        <v>2014</v>
      </c>
      <c r="H36" s="107"/>
      <c r="I36" s="107" t="s">
        <v>1706</v>
      </c>
      <c r="J36" s="107" t="s">
        <v>1486</v>
      </c>
    </row>
    <row r="37" spans="1:11" s="104" customFormat="1" ht="30" x14ac:dyDescent="0.25">
      <c r="A37" s="104" t="s">
        <v>9</v>
      </c>
      <c r="B37" s="104" t="s">
        <v>517</v>
      </c>
      <c r="C37" s="104" t="s">
        <v>1700</v>
      </c>
      <c r="D37" s="104" t="s">
        <v>1701</v>
      </c>
      <c r="E37" s="16">
        <v>149</v>
      </c>
      <c r="F37" s="72">
        <f t="shared" si="1"/>
        <v>2.8219696969696971E-2</v>
      </c>
      <c r="G37" s="105">
        <v>2013</v>
      </c>
      <c r="H37" s="107"/>
      <c r="I37" s="107" t="s">
        <v>1707</v>
      </c>
      <c r="J37" s="107" t="s">
        <v>1708</v>
      </c>
    </row>
    <row r="38" spans="1:11" s="104" customFormat="1" ht="30" x14ac:dyDescent="0.25">
      <c r="A38" s="104" t="s">
        <v>9</v>
      </c>
      <c r="B38" s="104" t="s">
        <v>517</v>
      </c>
      <c r="C38" s="104" t="s">
        <v>1700</v>
      </c>
      <c r="D38" s="104" t="s">
        <v>1702</v>
      </c>
      <c r="E38" s="16">
        <v>144</v>
      </c>
      <c r="F38" s="72">
        <f t="shared" si="1"/>
        <v>2.7272727272727271E-2</v>
      </c>
      <c r="G38" s="105">
        <v>2013</v>
      </c>
      <c r="H38" s="107"/>
      <c r="I38" s="107" t="s">
        <v>1709</v>
      </c>
      <c r="J38" s="107" t="s">
        <v>1376</v>
      </c>
    </row>
    <row r="39" spans="1:11" ht="30" x14ac:dyDescent="0.25">
      <c r="A39" s="104" t="s">
        <v>9</v>
      </c>
      <c r="B39" s="104" t="s">
        <v>517</v>
      </c>
      <c r="C39" s="104" t="s">
        <v>1700</v>
      </c>
      <c r="D39" s="104" t="s">
        <v>1713</v>
      </c>
      <c r="E39" s="16">
        <v>121</v>
      </c>
      <c r="F39" s="72">
        <f t="shared" si="1"/>
        <v>2.2916666666666665E-2</v>
      </c>
      <c r="G39" s="105" t="s">
        <v>536</v>
      </c>
      <c r="I39" s="107" t="s">
        <v>1714</v>
      </c>
      <c r="J39" s="107" t="s">
        <v>1458</v>
      </c>
    </row>
    <row r="40" spans="1:11" ht="30" x14ac:dyDescent="0.25">
      <c r="A40" t="s">
        <v>9</v>
      </c>
      <c r="B40" s="104" t="s">
        <v>517</v>
      </c>
      <c r="C40" s="104" t="s">
        <v>1700</v>
      </c>
      <c r="D40" s="34" t="s">
        <v>1715</v>
      </c>
      <c r="E40" s="2">
        <v>730</v>
      </c>
      <c r="F40" s="128">
        <f>E40/5280</f>
        <v>0.13825757575757575</v>
      </c>
      <c r="G40" s="105" t="s">
        <v>158</v>
      </c>
      <c r="H40" s="38"/>
      <c r="I40" s="34" t="s">
        <v>144</v>
      </c>
      <c r="J40" s="107" t="s">
        <v>1598</v>
      </c>
      <c r="K40" s="35"/>
    </row>
    <row r="41" spans="1:11" s="104" customFormat="1" ht="30" x14ac:dyDescent="0.25">
      <c r="A41" s="104" t="s">
        <v>9</v>
      </c>
      <c r="B41" s="104" t="s">
        <v>517</v>
      </c>
      <c r="C41" s="104" t="s">
        <v>1700</v>
      </c>
      <c r="D41" s="107" t="s">
        <v>1716</v>
      </c>
      <c r="E41" s="16">
        <v>2460</v>
      </c>
      <c r="F41" s="128">
        <f>E41/5280</f>
        <v>0.46590909090909088</v>
      </c>
      <c r="G41" s="105" t="s">
        <v>158</v>
      </c>
      <c r="H41" s="38"/>
      <c r="I41" s="107" t="s">
        <v>144</v>
      </c>
      <c r="J41" s="107" t="s">
        <v>1598</v>
      </c>
      <c r="K41" s="111"/>
    </row>
    <row r="42" spans="1:11" ht="30" x14ac:dyDescent="0.25">
      <c r="A42" t="s">
        <v>9</v>
      </c>
      <c r="B42" s="104" t="s">
        <v>517</v>
      </c>
      <c r="C42" s="104" t="s">
        <v>1717</v>
      </c>
      <c r="D42" s="104" t="s">
        <v>1718</v>
      </c>
      <c r="E42" s="16">
        <v>271</v>
      </c>
      <c r="F42" s="72">
        <f t="shared" ref="F42:F43" si="2">E42/5280</f>
        <v>5.1325757575757573E-2</v>
      </c>
      <c r="G42" s="2">
        <v>2013</v>
      </c>
      <c r="I42" s="107" t="s">
        <v>1719</v>
      </c>
      <c r="J42" s="107" t="s">
        <v>1486</v>
      </c>
    </row>
    <row r="43" spans="1:11" ht="45" x14ac:dyDescent="0.25">
      <c r="A43" t="s">
        <v>9</v>
      </c>
      <c r="B43" s="104" t="s">
        <v>517</v>
      </c>
      <c r="C43" s="104" t="s">
        <v>1717</v>
      </c>
      <c r="D43" s="107" t="s">
        <v>1723</v>
      </c>
      <c r="E43" s="16">
        <v>1160</v>
      </c>
      <c r="F43" s="72">
        <f t="shared" si="2"/>
        <v>0.2196969696969697</v>
      </c>
      <c r="G43" s="2">
        <v>1960</v>
      </c>
      <c r="H43" s="38" t="s">
        <v>1720</v>
      </c>
      <c r="I43" s="107" t="s">
        <v>1721</v>
      </c>
      <c r="J43" s="107" t="s">
        <v>1722</v>
      </c>
      <c r="K43" s="35"/>
    </row>
    <row r="44" spans="1:11" s="104" customFormat="1" ht="45" x14ac:dyDescent="0.25">
      <c r="A44" s="104" t="s">
        <v>9</v>
      </c>
      <c r="B44" s="104" t="s">
        <v>517</v>
      </c>
      <c r="C44" s="104" t="s">
        <v>1717</v>
      </c>
      <c r="D44" s="107" t="s">
        <v>1724</v>
      </c>
      <c r="E44" s="16">
        <v>750</v>
      </c>
      <c r="F44" s="72">
        <f t="shared" ref="F44:F45" si="3">E44/5280</f>
        <v>0.14204545454545456</v>
      </c>
      <c r="G44" s="105">
        <v>1960</v>
      </c>
      <c r="H44" s="38" t="s">
        <v>1720</v>
      </c>
      <c r="I44" s="107" t="s">
        <v>1721</v>
      </c>
      <c r="J44" s="107" t="s">
        <v>1722</v>
      </c>
      <c r="K44" s="111"/>
    </row>
    <row r="45" spans="1:11" s="104" customFormat="1" ht="30" x14ac:dyDescent="0.25">
      <c r="A45" s="104" t="s">
        <v>9</v>
      </c>
      <c r="B45" s="104" t="s">
        <v>517</v>
      </c>
      <c r="C45" s="104" t="s">
        <v>1717</v>
      </c>
      <c r="D45" s="107" t="s">
        <v>1725</v>
      </c>
      <c r="E45" s="16">
        <v>103</v>
      </c>
      <c r="F45" s="72">
        <f t="shared" si="3"/>
        <v>1.9507575757575758E-2</v>
      </c>
      <c r="G45" s="105">
        <v>2013</v>
      </c>
      <c r="H45" s="38"/>
      <c r="I45" s="107" t="s">
        <v>1726</v>
      </c>
      <c r="J45" s="107" t="s">
        <v>1454</v>
      </c>
      <c r="K45" s="111"/>
    </row>
    <row r="46" spans="1:11" s="142" customFormat="1" ht="75" x14ac:dyDescent="0.25">
      <c r="A46" s="142" t="s">
        <v>9</v>
      </c>
      <c r="B46" s="142" t="s">
        <v>517</v>
      </c>
      <c r="C46" s="142" t="s">
        <v>1717</v>
      </c>
      <c r="D46" s="144" t="s">
        <v>1729</v>
      </c>
      <c r="E46" s="139">
        <v>1300</v>
      </c>
      <c r="F46" s="140">
        <f>E46/5280</f>
        <v>0.24621212121212122</v>
      </c>
      <c r="G46" s="254" t="s">
        <v>154</v>
      </c>
      <c r="H46" s="152"/>
      <c r="I46" s="144" t="s">
        <v>1727</v>
      </c>
      <c r="J46" s="144" t="s">
        <v>1728</v>
      </c>
      <c r="K46" s="296"/>
    </row>
    <row r="47" spans="1:11" ht="30" x14ac:dyDescent="0.25">
      <c r="A47" t="s">
        <v>9</v>
      </c>
      <c r="B47" s="104" t="s">
        <v>517</v>
      </c>
      <c r="C47" s="104" t="s">
        <v>1717</v>
      </c>
      <c r="D47" s="34" t="s">
        <v>1730</v>
      </c>
      <c r="E47" s="2" t="s">
        <v>249</v>
      </c>
      <c r="F47" s="4" t="s">
        <v>249</v>
      </c>
      <c r="G47" s="2">
        <v>1969</v>
      </c>
      <c r="H47" s="38"/>
      <c r="I47" s="34" t="s">
        <v>117</v>
      </c>
      <c r="J47" s="107" t="s">
        <v>1599</v>
      </c>
      <c r="K47" s="35"/>
    </row>
    <row r="48" spans="1:11" s="104" customFormat="1" ht="45" x14ac:dyDescent="0.25">
      <c r="A48" s="104" t="s">
        <v>9</v>
      </c>
      <c r="B48" s="104" t="s">
        <v>517</v>
      </c>
      <c r="C48" s="104" t="s">
        <v>1731</v>
      </c>
      <c r="D48" s="104" t="s">
        <v>1732</v>
      </c>
      <c r="E48" s="105">
        <v>175</v>
      </c>
      <c r="F48" s="72">
        <f t="shared" ref="F48:F49" si="4">E48/5280</f>
        <v>3.3143939393939392E-2</v>
      </c>
      <c r="G48" s="105" t="s">
        <v>536</v>
      </c>
      <c r="H48" s="38"/>
      <c r="I48" s="107" t="s">
        <v>1734</v>
      </c>
      <c r="J48" s="107" t="s">
        <v>1735</v>
      </c>
      <c r="K48" s="111"/>
    </row>
    <row r="49" spans="1:11" s="104" customFormat="1" ht="30" x14ac:dyDescent="0.25">
      <c r="A49" s="104" t="s">
        <v>9</v>
      </c>
      <c r="B49" s="104" t="s">
        <v>517</v>
      </c>
      <c r="C49" s="104" t="s">
        <v>1731</v>
      </c>
      <c r="D49" s="104" t="s">
        <v>1733</v>
      </c>
      <c r="E49" s="105">
        <v>125</v>
      </c>
      <c r="F49" s="72">
        <f t="shared" si="4"/>
        <v>2.3674242424242424E-2</v>
      </c>
      <c r="G49" s="105">
        <v>2013</v>
      </c>
      <c r="H49" s="38"/>
      <c r="I49" s="107" t="s">
        <v>1736</v>
      </c>
      <c r="J49" s="107" t="s">
        <v>1454</v>
      </c>
      <c r="K49" s="111"/>
    </row>
    <row r="50" spans="1:11" ht="60" x14ac:dyDescent="0.25">
      <c r="A50" t="s">
        <v>9</v>
      </c>
      <c r="B50" s="104" t="s">
        <v>517</v>
      </c>
      <c r="C50" s="104" t="s">
        <v>1731</v>
      </c>
      <c r="D50" s="106" t="s">
        <v>1737</v>
      </c>
      <c r="E50" s="105">
        <v>430</v>
      </c>
      <c r="F50" s="72">
        <f t="shared" ref="F50" si="5">E50/5280</f>
        <v>8.1439393939393936E-2</v>
      </c>
      <c r="G50" s="2">
        <v>1975</v>
      </c>
      <c r="H50" s="38" t="s">
        <v>1738</v>
      </c>
      <c r="I50" s="107" t="s">
        <v>1739</v>
      </c>
      <c r="J50" s="107" t="s">
        <v>1740</v>
      </c>
      <c r="K50" s="35"/>
    </row>
    <row r="51" spans="1:11" ht="60" x14ac:dyDescent="0.25">
      <c r="A51" t="s">
        <v>9</v>
      </c>
      <c r="B51" s="104" t="s">
        <v>517</v>
      </c>
      <c r="C51" s="104" t="s">
        <v>1731</v>
      </c>
      <c r="D51" s="34" t="s">
        <v>1741</v>
      </c>
      <c r="E51" s="2" t="s">
        <v>249</v>
      </c>
      <c r="F51" s="4" t="s">
        <v>249</v>
      </c>
      <c r="G51" s="2">
        <v>1964</v>
      </c>
      <c r="H51" s="38" t="s">
        <v>123</v>
      </c>
      <c r="I51" s="34" t="s">
        <v>117</v>
      </c>
      <c r="J51" s="107" t="s">
        <v>1600</v>
      </c>
      <c r="K51" s="35"/>
    </row>
    <row r="52" spans="1:11" ht="60" x14ac:dyDescent="0.25">
      <c r="A52" t="s">
        <v>9</v>
      </c>
      <c r="B52" s="104" t="s">
        <v>517</v>
      </c>
      <c r="C52" s="104" t="s">
        <v>1731</v>
      </c>
      <c r="D52" s="34" t="s">
        <v>1742</v>
      </c>
      <c r="E52" s="2" t="s">
        <v>249</v>
      </c>
      <c r="F52" s="4" t="s">
        <v>249</v>
      </c>
      <c r="G52" s="2">
        <v>1961</v>
      </c>
      <c r="H52" s="38" t="s">
        <v>124</v>
      </c>
      <c r="I52" s="34" t="s">
        <v>117</v>
      </c>
      <c r="J52" s="107" t="s">
        <v>1601</v>
      </c>
      <c r="K52" s="35"/>
    </row>
    <row r="53" spans="1:11" ht="30" x14ac:dyDescent="0.25">
      <c r="A53" t="s">
        <v>9</v>
      </c>
      <c r="B53" s="104" t="s">
        <v>517</v>
      </c>
      <c r="C53" s="104" t="s">
        <v>1731</v>
      </c>
      <c r="D53" s="34" t="s">
        <v>1743</v>
      </c>
      <c r="E53" s="2" t="s">
        <v>249</v>
      </c>
      <c r="F53" s="4" t="s">
        <v>249</v>
      </c>
      <c r="G53" s="2">
        <v>1958</v>
      </c>
      <c r="H53" s="38" t="s">
        <v>125</v>
      </c>
      <c r="I53" s="34" t="s">
        <v>117</v>
      </c>
      <c r="J53" s="107" t="s">
        <v>1602</v>
      </c>
      <c r="K53" s="35"/>
    </row>
    <row r="54" spans="1:11" ht="45" x14ac:dyDescent="0.25">
      <c r="A54" t="s">
        <v>9</v>
      </c>
      <c r="B54" s="104" t="s">
        <v>517</v>
      </c>
      <c r="C54" s="104" t="s">
        <v>1744</v>
      </c>
      <c r="D54" s="34" t="s">
        <v>1745</v>
      </c>
      <c r="E54" s="2" t="s">
        <v>249</v>
      </c>
      <c r="F54" s="4" t="s">
        <v>249</v>
      </c>
      <c r="G54" s="2">
        <v>1964</v>
      </c>
      <c r="H54" s="38" t="s">
        <v>126</v>
      </c>
      <c r="I54" s="34" t="s">
        <v>117</v>
      </c>
      <c r="J54" s="107" t="s">
        <v>1603</v>
      </c>
      <c r="K54" s="35"/>
    </row>
    <row r="55" spans="1:11" s="104" customFormat="1" ht="30" x14ac:dyDescent="0.25">
      <c r="A55" s="104" t="s">
        <v>9</v>
      </c>
      <c r="B55" s="104" t="s">
        <v>517</v>
      </c>
      <c r="C55" s="104" t="s">
        <v>1746</v>
      </c>
      <c r="D55" s="104" t="s">
        <v>1747</v>
      </c>
      <c r="E55" s="105">
        <v>187</v>
      </c>
      <c r="F55" s="72">
        <f t="shared" ref="F55:F60" si="6">E55/5280</f>
        <v>3.5416666666666666E-2</v>
      </c>
      <c r="G55" s="105">
        <v>2013</v>
      </c>
      <c r="H55" s="38"/>
      <c r="I55" s="107" t="s">
        <v>1750</v>
      </c>
      <c r="J55" s="107" t="s">
        <v>1454</v>
      </c>
      <c r="K55" s="111"/>
    </row>
    <row r="56" spans="1:11" s="142" customFormat="1" ht="105" x14ac:dyDescent="0.25">
      <c r="A56" s="142" t="s">
        <v>9</v>
      </c>
      <c r="B56" s="142" t="s">
        <v>517</v>
      </c>
      <c r="C56" s="142" t="s">
        <v>1746</v>
      </c>
      <c r="D56" s="144" t="s">
        <v>1756</v>
      </c>
      <c r="E56" s="139">
        <v>1500</v>
      </c>
      <c r="F56" s="140">
        <f>E56/5280</f>
        <v>0.28409090909090912</v>
      </c>
      <c r="G56" s="254">
        <v>2016</v>
      </c>
      <c r="H56" s="152"/>
      <c r="I56" s="144" t="s">
        <v>1757</v>
      </c>
      <c r="J56" s="144" t="s">
        <v>1758</v>
      </c>
      <c r="K56" s="296"/>
    </row>
    <row r="57" spans="1:11" s="104" customFormat="1" ht="60" x14ac:dyDescent="0.25">
      <c r="A57" s="104" t="s">
        <v>9</v>
      </c>
      <c r="B57" s="104" t="s">
        <v>517</v>
      </c>
      <c r="C57" s="104" t="s">
        <v>1432</v>
      </c>
      <c r="D57" s="107" t="s">
        <v>1759</v>
      </c>
      <c r="E57" s="105">
        <v>250</v>
      </c>
      <c r="F57" s="72">
        <f t="shared" si="6"/>
        <v>4.7348484848484848E-2</v>
      </c>
      <c r="G57" s="105" t="s">
        <v>633</v>
      </c>
      <c r="H57" s="38"/>
      <c r="I57" s="107" t="s">
        <v>1751</v>
      </c>
      <c r="J57" s="107" t="s">
        <v>1752</v>
      </c>
      <c r="K57" s="111"/>
    </row>
    <row r="58" spans="1:11" s="104" customFormat="1" ht="60" x14ac:dyDescent="0.25">
      <c r="A58" s="104" t="s">
        <v>9</v>
      </c>
      <c r="B58" s="104" t="s">
        <v>517</v>
      </c>
      <c r="C58" s="104" t="s">
        <v>1432</v>
      </c>
      <c r="D58" s="107" t="s">
        <v>1760</v>
      </c>
      <c r="E58" s="105">
        <v>350</v>
      </c>
      <c r="F58" s="72">
        <f t="shared" ref="F58" si="7">E58/5280</f>
        <v>6.6287878787878785E-2</v>
      </c>
      <c r="G58" s="105" t="s">
        <v>633</v>
      </c>
      <c r="H58" s="38"/>
      <c r="I58" s="107" t="s">
        <v>1751</v>
      </c>
      <c r="J58" s="107" t="s">
        <v>1752</v>
      </c>
      <c r="K58" s="111"/>
    </row>
    <row r="59" spans="1:11" s="104" customFormat="1" ht="30" x14ac:dyDescent="0.25">
      <c r="A59" s="104" t="s">
        <v>9</v>
      </c>
      <c r="B59" s="104" t="s">
        <v>517</v>
      </c>
      <c r="C59" s="104" t="s">
        <v>2577</v>
      </c>
      <c r="D59" s="104" t="s">
        <v>1748</v>
      </c>
      <c r="E59" s="105">
        <v>52</v>
      </c>
      <c r="F59" s="258" t="s">
        <v>853</v>
      </c>
      <c r="G59" s="105">
        <v>2013</v>
      </c>
      <c r="H59" s="38"/>
      <c r="I59" s="107" t="s">
        <v>1753</v>
      </c>
      <c r="J59" s="107" t="s">
        <v>1454</v>
      </c>
      <c r="K59" s="111"/>
    </row>
    <row r="60" spans="1:11" s="104" customFormat="1" ht="75" x14ac:dyDescent="0.25">
      <c r="A60" s="104" t="s">
        <v>9</v>
      </c>
      <c r="B60" s="104" t="s">
        <v>517</v>
      </c>
      <c r="C60" s="104" t="s">
        <v>2577</v>
      </c>
      <c r="D60" s="106" t="s">
        <v>1749</v>
      </c>
      <c r="E60" s="16">
        <v>1200</v>
      </c>
      <c r="F60" s="72">
        <f t="shared" si="6"/>
        <v>0.22727272727272727</v>
      </c>
      <c r="G60" s="105" t="s">
        <v>633</v>
      </c>
      <c r="H60" s="38"/>
      <c r="I60" s="57" t="s">
        <v>1754</v>
      </c>
      <c r="J60" s="107" t="s">
        <v>1755</v>
      </c>
      <c r="K60" s="111"/>
    </row>
    <row r="61" spans="1:11" ht="45" x14ac:dyDescent="0.25">
      <c r="A61" t="s">
        <v>9</v>
      </c>
      <c r="B61" s="104" t="s">
        <v>517</v>
      </c>
      <c r="C61" s="104" t="s">
        <v>1062</v>
      </c>
      <c r="D61" s="34" t="s">
        <v>1761</v>
      </c>
      <c r="E61" s="105" t="s">
        <v>249</v>
      </c>
      <c r="F61" s="4" t="s">
        <v>249</v>
      </c>
      <c r="G61" s="2">
        <v>1966</v>
      </c>
      <c r="H61" s="34" t="s">
        <v>119</v>
      </c>
      <c r="I61" s="34" t="s">
        <v>117</v>
      </c>
      <c r="J61" s="107" t="s">
        <v>1604</v>
      </c>
    </row>
    <row r="62" spans="1:11" ht="30" x14ac:dyDescent="0.25">
      <c r="A62" t="s">
        <v>9</v>
      </c>
      <c r="B62" s="104" t="s">
        <v>517</v>
      </c>
      <c r="C62" s="104" t="s">
        <v>1062</v>
      </c>
      <c r="D62" s="34" t="s">
        <v>1762</v>
      </c>
      <c r="E62" s="2" t="s">
        <v>249</v>
      </c>
      <c r="F62" s="4" t="s">
        <v>249</v>
      </c>
      <c r="G62" s="2">
        <v>1966</v>
      </c>
      <c r="H62" s="38" t="s">
        <v>120</v>
      </c>
      <c r="I62" s="34" t="s">
        <v>117</v>
      </c>
      <c r="J62" s="107" t="s">
        <v>1605</v>
      </c>
    </row>
    <row r="63" spans="1:11" ht="60" x14ac:dyDescent="0.25">
      <c r="A63" t="s">
        <v>9</v>
      </c>
      <c r="B63" s="104" t="s">
        <v>517</v>
      </c>
      <c r="C63" s="104" t="s">
        <v>1062</v>
      </c>
      <c r="D63" s="34" t="s">
        <v>1763</v>
      </c>
      <c r="E63" s="2">
        <v>275</v>
      </c>
      <c r="F63" s="72">
        <f t="shared" ref="F63:F69" si="8">E63/5280</f>
        <v>5.2083333333333336E-2</v>
      </c>
      <c r="G63" s="2">
        <v>1960</v>
      </c>
      <c r="H63" s="38" t="s">
        <v>1764</v>
      </c>
      <c r="I63" s="34" t="s">
        <v>1765</v>
      </c>
      <c r="J63" s="107" t="s">
        <v>1766</v>
      </c>
      <c r="K63" s="107"/>
    </row>
    <row r="64" spans="1:11" s="104" customFormat="1" ht="60" x14ac:dyDescent="0.25">
      <c r="A64" s="104" t="s">
        <v>9</v>
      </c>
      <c r="B64" s="104" t="s">
        <v>517</v>
      </c>
      <c r="C64" s="104" t="s">
        <v>1062</v>
      </c>
      <c r="D64" s="107" t="s">
        <v>1767</v>
      </c>
      <c r="E64" s="16">
        <v>1000</v>
      </c>
      <c r="F64" s="72">
        <f t="shared" si="8"/>
        <v>0.18939393939393939</v>
      </c>
      <c r="G64" s="105">
        <v>1960</v>
      </c>
      <c r="H64" s="38" t="s">
        <v>1764</v>
      </c>
      <c r="I64" s="107" t="s">
        <v>1765</v>
      </c>
      <c r="J64" s="107" t="s">
        <v>1766</v>
      </c>
      <c r="K64" s="107"/>
    </row>
    <row r="65" spans="1:11" s="104" customFormat="1" ht="30" x14ac:dyDescent="0.25">
      <c r="A65" s="104" t="s">
        <v>9</v>
      </c>
      <c r="B65" s="104" t="s">
        <v>517</v>
      </c>
      <c r="C65" s="104" t="s">
        <v>1062</v>
      </c>
      <c r="D65" s="107" t="s">
        <v>1768</v>
      </c>
      <c r="E65" s="105">
        <v>165</v>
      </c>
      <c r="F65" s="299">
        <f t="shared" si="8"/>
        <v>3.125E-2</v>
      </c>
      <c r="G65" s="105">
        <v>2013</v>
      </c>
      <c r="H65" s="38"/>
      <c r="I65" s="107" t="s">
        <v>1774</v>
      </c>
      <c r="J65" s="107" t="s">
        <v>1775</v>
      </c>
      <c r="K65" s="107"/>
    </row>
    <row r="66" spans="1:11" s="104" customFormat="1" ht="60" x14ac:dyDescent="0.25">
      <c r="A66" s="104" t="s">
        <v>9</v>
      </c>
      <c r="B66" s="104" t="s">
        <v>517</v>
      </c>
      <c r="C66" s="104" t="s">
        <v>1062</v>
      </c>
      <c r="D66" s="107" t="s">
        <v>1773</v>
      </c>
      <c r="E66" s="105">
        <v>760</v>
      </c>
      <c r="F66" s="72">
        <f t="shared" si="8"/>
        <v>0.14393939393939395</v>
      </c>
      <c r="G66" s="105" t="s">
        <v>158</v>
      </c>
      <c r="H66" s="105" t="s">
        <v>207</v>
      </c>
      <c r="I66" s="107" t="s">
        <v>1776</v>
      </c>
      <c r="J66" s="107" t="s">
        <v>1777</v>
      </c>
      <c r="K66" s="107"/>
    </row>
    <row r="67" spans="1:11" s="104" customFormat="1" ht="45" x14ac:dyDescent="0.25">
      <c r="A67" s="104" t="s">
        <v>9</v>
      </c>
      <c r="B67" s="104" t="s">
        <v>517</v>
      </c>
      <c r="C67" s="104" t="s">
        <v>1062</v>
      </c>
      <c r="D67" s="104" t="s">
        <v>1769</v>
      </c>
      <c r="E67" s="105">
        <v>100</v>
      </c>
      <c r="F67" s="258" t="s">
        <v>853</v>
      </c>
      <c r="G67" s="105">
        <v>2013</v>
      </c>
      <c r="H67" s="38"/>
      <c r="I67" s="107" t="s">
        <v>1778</v>
      </c>
      <c r="J67" s="107" t="s">
        <v>1779</v>
      </c>
      <c r="K67" s="107"/>
    </row>
    <row r="68" spans="1:11" s="104" customFormat="1" ht="30" x14ac:dyDescent="0.25">
      <c r="A68" s="104" t="s">
        <v>9</v>
      </c>
      <c r="B68" s="104" t="s">
        <v>517</v>
      </c>
      <c r="C68" s="104" t="s">
        <v>1062</v>
      </c>
      <c r="D68" s="107" t="s">
        <v>1770</v>
      </c>
      <c r="E68" s="105">
        <v>79</v>
      </c>
      <c r="F68" s="299">
        <f t="shared" si="8"/>
        <v>1.4962121212121211E-2</v>
      </c>
      <c r="G68" s="105">
        <v>2013</v>
      </c>
      <c r="H68" s="38"/>
      <c r="I68" s="107" t="s">
        <v>1780</v>
      </c>
      <c r="J68" s="107" t="s">
        <v>1454</v>
      </c>
      <c r="K68" s="107"/>
    </row>
    <row r="69" spans="1:11" s="104" customFormat="1" ht="30" x14ac:dyDescent="0.25">
      <c r="A69" s="104" t="s">
        <v>9</v>
      </c>
      <c r="B69" s="104" t="s">
        <v>517</v>
      </c>
      <c r="C69" s="104" t="s">
        <v>1771</v>
      </c>
      <c r="D69" s="107" t="s">
        <v>1772</v>
      </c>
      <c r="E69" s="105">
        <v>70</v>
      </c>
      <c r="F69" s="299">
        <f t="shared" si="8"/>
        <v>1.3257575757575758E-2</v>
      </c>
      <c r="G69" s="105">
        <v>2013</v>
      </c>
      <c r="H69" s="38"/>
      <c r="I69" s="107" t="s">
        <v>1781</v>
      </c>
      <c r="J69" s="107" t="s">
        <v>1782</v>
      </c>
      <c r="K69" s="107"/>
    </row>
    <row r="70" spans="1:11" ht="45" x14ac:dyDescent="0.25">
      <c r="A70" t="s">
        <v>9</v>
      </c>
      <c r="B70" s="104" t="s">
        <v>517</v>
      </c>
      <c r="C70" s="104" t="s">
        <v>1771</v>
      </c>
      <c r="D70" s="34" t="s">
        <v>1783</v>
      </c>
      <c r="E70" s="2" t="s">
        <v>249</v>
      </c>
      <c r="F70" s="4" t="s">
        <v>249</v>
      </c>
      <c r="G70" s="2">
        <v>1966</v>
      </c>
      <c r="H70" s="38" t="s">
        <v>239</v>
      </c>
      <c r="I70" s="34" t="s">
        <v>117</v>
      </c>
      <c r="J70" s="107" t="s">
        <v>1606</v>
      </c>
    </row>
    <row r="71" spans="1:11" s="104" customFormat="1" ht="45" x14ac:dyDescent="0.25">
      <c r="A71" s="104" t="s">
        <v>9</v>
      </c>
      <c r="B71" s="104" t="s">
        <v>517</v>
      </c>
      <c r="C71" s="104" t="s">
        <v>1771</v>
      </c>
      <c r="D71" s="107" t="s">
        <v>1784</v>
      </c>
      <c r="E71" s="105">
        <v>212</v>
      </c>
      <c r="F71" s="72">
        <f t="shared" ref="F71:F76" si="9">E71/5280</f>
        <v>4.0151515151515153E-2</v>
      </c>
      <c r="G71" s="105">
        <v>2013</v>
      </c>
      <c r="H71" s="38"/>
      <c r="I71" s="107" t="s">
        <v>1789</v>
      </c>
      <c r="J71" s="107" t="s">
        <v>1790</v>
      </c>
    </row>
    <row r="72" spans="1:11" s="104" customFormat="1" ht="30" x14ac:dyDescent="0.25">
      <c r="A72" s="104" t="s">
        <v>9</v>
      </c>
      <c r="B72" s="104" t="s">
        <v>517</v>
      </c>
      <c r="C72" s="104" t="s">
        <v>1771</v>
      </c>
      <c r="D72" s="107" t="s">
        <v>1785</v>
      </c>
      <c r="E72" s="105">
        <v>138</v>
      </c>
      <c r="F72" s="72">
        <f t="shared" si="9"/>
        <v>2.6136363636363635E-2</v>
      </c>
      <c r="G72" s="105">
        <v>2013</v>
      </c>
      <c r="H72" s="38"/>
      <c r="I72" s="107" t="s">
        <v>1791</v>
      </c>
      <c r="J72" s="107" t="s">
        <v>1792</v>
      </c>
    </row>
    <row r="73" spans="1:11" s="104" customFormat="1" ht="30" x14ac:dyDescent="0.25">
      <c r="A73" s="104" t="s">
        <v>9</v>
      </c>
      <c r="B73" s="104" t="s">
        <v>517</v>
      </c>
      <c r="C73" s="104" t="s">
        <v>1771</v>
      </c>
      <c r="D73" s="107" t="s">
        <v>1786</v>
      </c>
      <c r="E73" s="105">
        <v>93</v>
      </c>
      <c r="F73" s="72">
        <f t="shared" si="9"/>
        <v>1.7613636363636363E-2</v>
      </c>
      <c r="G73" s="105">
        <v>2013</v>
      </c>
      <c r="H73" s="38"/>
      <c r="I73" s="107" t="s">
        <v>1793</v>
      </c>
      <c r="J73" s="107" t="s">
        <v>1454</v>
      </c>
    </row>
    <row r="74" spans="1:11" s="104" customFormat="1" ht="30" x14ac:dyDescent="0.25">
      <c r="A74" s="104" t="s">
        <v>9</v>
      </c>
      <c r="B74" s="104" t="s">
        <v>517</v>
      </c>
      <c r="C74" s="104" t="s">
        <v>1771</v>
      </c>
      <c r="D74" s="107" t="s">
        <v>1787</v>
      </c>
      <c r="E74" s="105">
        <v>201</v>
      </c>
      <c r="F74" s="72">
        <f t="shared" si="9"/>
        <v>3.806818181818182E-2</v>
      </c>
      <c r="G74" s="105">
        <v>2013</v>
      </c>
      <c r="H74" s="38"/>
      <c r="I74" s="107" t="s">
        <v>1794</v>
      </c>
      <c r="J74" s="107" t="s">
        <v>1454</v>
      </c>
    </row>
    <row r="75" spans="1:11" s="104" customFormat="1" ht="30" x14ac:dyDescent="0.25">
      <c r="A75" s="104" t="s">
        <v>9</v>
      </c>
      <c r="B75" s="104" t="s">
        <v>517</v>
      </c>
      <c r="C75" s="104" t="s">
        <v>1424</v>
      </c>
      <c r="D75" s="107" t="s">
        <v>1788</v>
      </c>
      <c r="E75" s="105">
        <v>140</v>
      </c>
      <c r="F75" s="72">
        <f t="shared" si="9"/>
        <v>2.6515151515151516E-2</v>
      </c>
      <c r="G75" s="105">
        <v>2013</v>
      </c>
      <c r="H75" s="38"/>
      <c r="I75" s="107" t="s">
        <v>1795</v>
      </c>
      <c r="J75" s="107" t="s">
        <v>1454</v>
      </c>
    </row>
    <row r="76" spans="1:11" s="104" customFormat="1" ht="30" x14ac:dyDescent="0.25">
      <c r="A76" s="104" t="s">
        <v>9</v>
      </c>
      <c r="B76" s="104" t="s">
        <v>517</v>
      </c>
      <c r="C76" s="104" t="s">
        <v>1424</v>
      </c>
      <c r="D76" s="107" t="s">
        <v>1798</v>
      </c>
      <c r="E76" s="105">
        <v>551</v>
      </c>
      <c r="F76" s="72">
        <f t="shared" si="9"/>
        <v>0.1043560606060606</v>
      </c>
      <c r="G76" s="105">
        <v>2013</v>
      </c>
      <c r="H76" s="38"/>
      <c r="I76" s="107" t="s">
        <v>1796</v>
      </c>
      <c r="J76" s="107" t="s">
        <v>1797</v>
      </c>
    </row>
    <row r="77" spans="1:11" ht="45" x14ac:dyDescent="0.25">
      <c r="A77" t="s">
        <v>9</v>
      </c>
      <c r="B77" s="104" t="s">
        <v>517</v>
      </c>
      <c r="C77" s="104" t="s">
        <v>1424</v>
      </c>
      <c r="D77" s="34" t="s">
        <v>1799</v>
      </c>
      <c r="E77" s="2" t="s">
        <v>249</v>
      </c>
      <c r="F77" s="4" t="s">
        <v>249</v>
      </c>
      <c r="G77" s="2" t="s">
        <v>127</v>
      </c>
      <c r="H77" s="38" t="s">
        <v>128</v>
      </c>
      <c r="I77" s="34" t="s">
        <v>117</v>
      </c>
      <c r="J77" s="107" t="s">
        <v>1607</v>
      </c>
      <c r="K77" s="107"/>
    </row>
    <row r="78" spans="1:11" s="104" customFormat="1" ht="45" x14ac:dyDescent="0.25">
      <c r="A78" s="104" t="s">
        <v>9</v>
      </c>
      <c r="B78" s="104" t="s">
        <v>517</v>
      </c>
      <c r="C78" s="104" t="s">
        <v>1424</v>
      </c>
      <c r="D78" s="107" t="s">
        <v>1800</v>
      </c>
      <c r="E78" s="105">
        <v>97</v>
      </c>
      <c r="F78" s="72">
        <f t="shared" ref="F78" si="10">E78/5280</f>
        <v>1.8371212121212122E-2</v>
      </c>
      <c r="G78" s="105">
        <v>2013</v>
      </c>
      <c r="H78" s="38"/>
      <c r="I78" s="107" t="s">
        <v>1801</v>
      </c>
      <c r="J78" s="107" t="s">
        <v>1802</v>
      </c>
      <c r="K78" s="107"/>
    </row>
    <row r="79" spans="1:11" ht="45" x14ac:dyDescent="0.25">
      <c r="A79" t="s">
        <v>9</v>
      </c>
      <c r="B79" s="104" t="s">
        <v>517</v>
      </c>
      <c r="C79" s="104" t="s">
        <v>1424</v>
      </c>
      <c r="D79" s="57" t="s">
        <v>1803</v>
      </c>
      <c r="E79" s="2" t="s">
        <v>249</v>
      </c>
      <c r="F79" s="4" t="s">
        <v>249</v>
      </c>
      <c r="G79" s="2" t="s">
        <v>127</v>
      </c>
      <c r="H79" s="38" t="s">
        <v>129</v>
      </c>
      <c r="I79" s="34" t="s">
        <v>117</v>
      </c>
      <c r="J79" s="107" t="s">
        <v>1608</v>
      </c>
    </row>
    <row r="80" spans="1:11" ht="30" x14ac:dyDescent="0.25">
      <c r="A80" t="s">
        <v>9</v>
      </c>
      <c r="B80" s="104" t="s">
        <v>517</v>
      </c>
      <c r="C80" s="104" t="s">
        <v>1805</v>
      </c>
      <c r="D80" s="34" t="s">
        <v>1804</v>
      </c>
      <c r="E80" s="2" t="s">
        <v>249</v>
      </c>
      <c r="F80" s="4" t="s">
        <v>249</v>
      </c>
      <c r="G80" s="2">
        <v>1979</v>
      </c>
      <c r="H80" s="38" t="s">
        <v>130</v>
      </c>
      <c r="I80" s="34" t="s">
        <v>117</v>
      </c>
      <c r="J80" s="107" t="s">
        <v>1609</v>
      </c>
    </row>
    <row r="81" spans="1:11" s="104" customFormat="1" ht="45" x14ac:dyDescent="0.25">
      <c r="A81" s="104" t="s">
        <v>9</v>
      </c>
      <c r="B81" s="104" t="s">
        <v>517</v>
      </c>
      <c r="C81" s="104" t="s">
        <v>1805</v>
      </c>
      <c r="D81" s="107" t="s">
        <v>1806</v>
      </c>
      <c r="E81" s="105">
        <v>800</v>
      </c>
      <c r="F81" s="72">
        <f t="shared" ref="F81:F82" si="11">E81/5280</f>
        <v>0.15151515151515152</v>
      </c>
      <c r="G81" s="105">
        <v>2015</v>
      </c>
      <c r="H81" s="38"/>
      <c r="I81" s="107" t="s">
        <v>1807</v>
      </c>
      <c r="J81" s="107" t="s">
        <v>1808</v>
      </c>
    </row>
    <row r="82" spans="1:11" s="104" customFormat="1" ht="30" x14ac:dyDescent="0.25">
      <c r="A82" s="104" t="s">
        <v>9</v>
      </c>
      <c r="B82" s="104" t="s">
        <v>517</v>
      </c>
      <c r="C82" s="104" t="s">
        <v>1809</v>
      </c>
      <c r="D82" s="107" t="s">
        <v>1810</v>
      </c>
      <c r="E82" s="105">
        <v>132</v>
      </c>
      <c r="F82" s="72">
        <f t="shared" si="11"/>
        <v>2.5000000000000001E-2</v>
      </c>
      <c r="G82" s="105">
        <v>2013</v>
      </c>
      <c r="H82" s="38"/>
      <c r="I82" s="107" t="s">
        <v>1811</v>
      </c>
      <c r="J82" s="107" t="s">
        <v>1812</v>
      </c>
    </row>
    <row r="83" spans="1:11" ht="75" x14ac:dyDescent="0.25">
      <c r="A83" t="s">
        <v>9</v>
      </c>
      <c r="B83" s="104" t="s">
        <v>517</v>
      </c>
      <c r="C83" s="104" t="s">
        <v>1809</v>
      </c>
      <c r="D83" s="112" t="s">
        <v>1813</v>
      </c>
      <c r="E83" s="2" t="s">
        <v>249</v>
      </c>
      <c r="F83" s="4" t="s">
        <v>249</v>
      </c>
      <c r="G83" s="2">
        <v>1977</v>
      </c>
      <c r="H83" s="38" t="s">
        <v>131</v>
      </c>
      <c r="I83" s="34" t="s">
        <v>117</v>
      </c>
      <c r="J83" s="107" t="s">
        <v>1814</v>
      </c>
    </row>
    <row r="84" spans="1:11" ht="30" x14ac:dyDescent="0.25">
      <c r="A84" t="s">
        <v>9</v>
      </c>
      <c r="B84" s="104" t="s">
        <v>517</v>
      </c>
      <c r="C84" s="104" t="s">
        <v>1809</v>
      </c>
      <c r="D84" s="34" t="s">
        <v>1815</v>
      </c>
      <c r="E84" s="2" t="s">
        <v>249</v>
      </c>
      <c r="F84" s="4" t="s">
        <v>249</v>
      </c>
      <c r="G84" s="2">
        <v>1976</v>
      </c>
      <c r="H84" s="38"/>
      <c r="I84" s="34" t="s">
        <v>117</v>
      </c>
      <c r="J84" s="107" t="s">
        <v>1610</v>
      </c>
    </row>
    <row r="85" spans="1:11" ht="45" x14ac:dyDescent="0.25">
      <c r="A85" t="s">
        <v>9</v>
      </c>
      <c r="B85" s="104" t="s">
        <v>517</v>
      </c>
      <c r="C85" s="104" t="s">
        <v>1809</v>
      </c>
      <c r="D85" s="34" t="s">
        <v>1816</v>
      </c>
      <c r="E85" s="2" t="s">
        <v>249</v>
      </c>
      <c r="F85" s="4" t="s">
        <v>249</v>
      </c>
      <c r="G85" s="2">
        <v>1966</v>
      </c>
      <c r="H85" s="38" t="s">
        <v>132</v>
      </c>
      <c r="I85" s="34" t="s">
        <v>117</v>
      </c>
      <c r="J85" s="107" t="s">
        <v>1611</v>
      </c>
    </row>
    <row r="86" spans="1:11" ht="75" x14ac:dyDescent="0.25">
      <c r="A86" t="s">
        <v>9</v>
      </c>
      <c r="B86" s="104" t="s">
        <v>517</v>
      </c>
      <c r="C86" s="104" t="s">
        <v>1805</v>
      </c>
      <c r="D86" s="36" t="s">
        <v>1817</v>
      </c>
      <c r="E86" s="67" t="s">
        <v>249</v>
      </c>
      <c r="F86" s="4" t="s">
        <v>249</v>
      </c>
      <c r="G86" s="93">
        <v>1966</v>
      </c>
      <c r="H86" s="74" t="s">
        <v>137</v>
      </c>
      <c r="I86" s="75" t="s">
        <v>138</v>
      </c>
      <c r="J86" s="112" t="s">
        <v>1613</v>
      </c>
      <c r="K86" s="107"/>
    </row>
    <row r="87" spans="1:11" s="104" customFormat="1" ht="60" x14ac:dyDescent="0.25">
      <c r="A87" s="104" t="s">
        <v>9</v>
      </c>
      <c r="B87" s="104" t="s">
        <v>517</v>
      </c>
      <c r="C87" s="104" t="s">
        <v>1805</v>
      </c>
      <c r="D87" s="107" t="s">
        <v>1818</v>
      </c>
      <c r="E87" s="105" t="s">
        <v>249</v>
      </c>
      <c r="F87" s="4" t="s">
        <v>249</v>
      </c>
      <c r="G87" s="105" t="s">
        <v>158</v>
      </c>
      <c r="H87" s="38"/>
      <c r="I87" s="107" t="s">
        <v>245</v>
      </c>
      <c r="J87" s="107" t="s">
        <v>1612</v>
      </c>
    </row>
    <row r="88" spans="1:11" s="104" customFormat="1" ht="45" x14ac:dyDescent="0.25">
      <c r="A88" s="104" t="s">
        <v>9</v>
      </c>
      <c r="B88" s="104" t="s">
        <v>517</v>
      </c>
      <c r="C88" s="104" t="s">
        <v>1805</v>
      </c>
      <c r="D88" s="107" t="s">
        <v>1819</v>
      </c>
      <c r="E88" s="105">
        <v>189</v>
      </c>
      <c r="F88" s="72">
        <f t="shared" ref="F88:F95" si="12">E88/5280</f>
        <v>3.5795454545454547E-2</v>
      </c>
      <c r="G88" s="105">
        <v>2013</v>
      </c>
      <c r="H88" s="38"/>
      <c r="I88" s="107" t="s">
        <v>1823</v>
      </c>
      <c r="J88" s="107" t="s">
        <v>1824</v>
      </c>
    </row>
    <row r="89" spans="1:11" ht="90" x14ac:dyDescent="0.25">
      <c r="A89" t="s">
        <v>9</v>
      </c>
      <c r="B89" s="104" t="s">
        <v>517</v>
      </c>
      <c r="C89" s="104" t="s">
        <v>1829</v>
      </c>
      <c r="D89" s="34" t="s">
        <v>1830</v>
      </c>
      <c r="E89" s="2" t="s">
        <v>249</v>
      </c>
      <c r="F89" s="4" t="s">
        <v>249</v>
      </c>
      <c r="G89" s="2">
        <v>1967</v>
      </c>
      <c r="H89" s="38" t="s">
        <v>133</v>
      </c>
      <c r="I89" s="34" t="s">
        <v>117</v>
      </c>
      <c r="J89" s="107" t="s">
        <v>1614</v>
      </c>
      <c r="K89" s="107"/>
    </row>
    <row r="90" spans="1:11" ht="45" x14ac:dyDescent="0.25">
      <c r="A90" t="s">
        <v>9</v>
      </c>
      <c r="B90" s="104" t="s">
        <v>517</v>
      </c>
      <c r="C90" s="104" t="s">
        <v>1829</v>
      </c>
      <c r="D90" s="34" t="s">
        <v>1831</v>
      </c>
      <c r="E90" s="105" t="s">
        <v>249</v>
      </c>
      <c r="F90" s="4" t="s">
        <v>249</v>
      </c>
      <c r="G90" s="105">
        <v>1959</v>
      </c>
      <c r="H90" s="38" t="s">
        <v>240</v>
      </c>
      <c r="I90" s="107" t="s">
        <v>241</v>
      </c>
      <c r="J90" s="107" t="s">
        <v>1615</v>
      </c>
    </row>
    <row r="91" spans="1:11" ht="45" x14ac:dyDescent="0.25">
      <c r="A91" t="s">
        <v>9</v>
      </c>
      <c r="B91" s="104" t="s">
        <v>517</v>
      </c>
      <c r="C91" s="104" t="s">
        <v>1413</v>
      </c>
      <c r="D91" s="34" t="s">
        <v>1832</v>
      </c>
      <c r="E91" s="2" t="s">
        <v>249</v>
      </c>
      <c r="F91" s="4" t="s">
        <v>249</v>
      </c>
      <c r="G91" s="2">
        <v>1959</v>
      </c>
      <c r="H91" s="38" t="s">
        <v>240</v>
      </c>
      <c r="I91" s="34" t="s">
        <v>241</v>
      </c>
      <c r="J91" s="107" t="s">
        <v>1615</v>
      </c>
    </row>
    <row r="92" spans="1:11" ht="60" x14ac:dyDescent="0.25">
      <c r="A92" t="s">
        <v>9</v>
      </c>
      <c r="B92" s="104" t="s">
        <v>517</v>
      </c>
      <c r="C92" s="104" t="s">
        <v>1413</v>
      </c>
      <c r="D92" s="34" t="s">
        <v>1833</v>
      </c>
      <c r="E92" s="16">
        <v>1500</v>
      </c>
      <c r="F92" s="72">
        <f t="shared" si="12"/>
        <v>0.28409090909090912</v>
      </c>
      <c r="G92" s="2" t="s">
        <v>134</v>
      </c>
      <c r="H92" s="38" t="s">
        <v>1834</v>
      </c>
      <c r="I92" s="34" t="s">
        <v>1835</v>
      </c>
      <c r="J92" s="107" t="s">
        <v>1616</v>
      </c>
    </row>
    <row r="93" spans="1:11" s="104" customFormat="1" ht="60" x14ac:dyDescent="0.25">
      <c r="A93" s="104" t="s">
        <v>9</v>
      </c>
      <c r="B93" s="104" t="s">
        <v>517</v>
      </c>
      <c r="C93" s="104" t="s">
        <v>1413</v>
      </c>
      <c r="D93" s="107" t="s">
        <v>1836</v>
      </c>
      <c r="E93" s="16">
        <v>1340</v>
      </c>
      <c r="F93" s="72">
        <f t="shared" ref="F93" si="13">E93/5280</f>
        <v>0.25378787878787878</v>
      </c>
      <c r="G93" s="105" t="s">
        <v>134</v>
      </c>
      <c r="H93" s="38" t="s">
        <v>1834</v>
      </c>
      <c r="I93" s="107" t="s">
        <v>1835</v>
      </c>
      <c r="J93" s="107" t="s">
        <v>1616</v>
      </c>
    </row>
    <row r="94" spans="1:11" s="104" customFormat="1" ht="30" x14ac:dyDescent="0.25">
      <c r="A94" s="104" t="s">
        <v>9</v>
      </c>
      <c r="B94" s="104" t="s">
        <v>517</v>
      </c>
      <c r="C94" s="104" t="s">
        <v>1413</v>
      </c>
      <c r="D94" s="107" t="s">
        <v>1821</v>
      </c>
      <c r="E94" s="105">
        <v>152</v>
      </c>
      <c r="F94" s="72">
        <f>E94/5280</f>
        <v>2.8787878787878789E-2</v>
      </c>
      <c r="G94" s="105">
        <v>2013</v>
      </c>
      <c r="H94" s="38"/>
      <c r="I94" s="107" t="s">
        <v>1826</v>
      </c>
      <c r="J94" s="107" t="s">
        <v>1827</v>
      </c>
    </row>
    <row r="95" spans="1:11" s="104" customFormat="1" ht="30" x14ac:dyDescent="0.25">
      <c r="A95" s="104" t="s">
        <v>9</v>
      </c>
      <c r="B95" s="104" t="s">
        <v>517</v>
      </c>
      <c r="C95" s="104" t="s">
        <v>1413</v>
      </c>
      <c r="D95" s="107" t="s">
        <v>1820</v>
      </c>
      <c r="E95" s="105">
        <v>96</v>
      </c>
      <c r="F95" s="72">
        <f t="shared" si="12"/>
        <v>1.8181818181818181E-2</v>
      </c>
      <c r="G95" s="105">
        <v>2013</v>
      </c>
      <c r="H95" s="38"/>
      <c r="I95" s="107" t="s">
        <v>1825</v>
      </c>
      <c r="J95" s="107" t="s">
        <v>1454</v>
      </c>
    </row>
    <row r="96" spans="1:11" ht="45" x14ac:dyDescent="0.25">
      <c r="A96" t="s">
        <v>9</v>
      </c>
      <c r="B96" s="104" t="s">
        <v>517</v>
      </c>
      <c r="C96" s="104" t="s">
        <v>1413</v>
      </c>
      <c r="D96" s="34" t="s">
        <v>1837</v>
      </c>
      <c r="E96" s="2" t="s">
        <v>249</v>
      </c>
      <c r="F96" s="4" t="s">
        <v>249</v>
      </c>
      <c r="G96" s="2">
        <v>1979</v>
      </c>
      <c r="H96" s="38" t="s">
        <v>122</v>
      </c>
      <c r="I96" s="34" t="s">
        <v>117</v>
      </c>
      <c r="J96" s="107" t="s">
        <v>1617</v>
      </c>
    </row>
    <row r="97" spans="1:10" ht="30" x14ac:dyDescent="0.25">
      <c r="A97" s="104" t="s">
        <v>9</v>
      </c>
      <c r="B97" s="104" t="s">
        <v>517</v>
      </c>
      <c r="C97" s="104" t="s">
        <v>1413</v>
      </c>
      <c r="D97" s="107" t="s">
        <v>1822</v>
      </c>
      <c r="E97" s="105">
        <v>358</v>
      </c>
      <c r="F97" s="72">
        <f>E97/5280</f>
        <v>6.7803030303030309E-2</v>
      </c>
      <c r="G97" s="105">
        <v>2013</v>
      </c>
      <c r="I97" s="107" t="s">
        <v>1828</v>
      </c>
      <c r="J97" s="107" t="s">
        <v>1454</v>
      </c>
    </row>
    <row r="98" spans="1:10" ht="30" x14ac:dyDescent="0.25">
      <c r="A98" t="s">
        <v>9</v>
      </c>
      <c r="B98" s="104" t="s">
        <v>517</v>
      </c>
      <c r="C98" s="104" t="s">
        <v>1413</v>
      </c>
      <c r="D98" s="107" t="s">
        <v>1838</v>
      </c>
      <c r="E98" s="105">
        <v>181</v>
      </c>
      <c r="F98" s="72">
        <f t="shared" ref="F98" si="14">E98/5280</f>
        <v>3.4280303030303029E-2</v>
      </c>
      <c r="G98" s="2">
        <v>2013</v>
      </c>
      <c r="I98" s="107" t="s">
        <v>1839</v>
      </c>
      <c r="J98" s="107" t="s">
        <v>1454</v>
      </c>
    </row>
    <row r="99" spans="1:10" ht="75" x14ac:dyDescent="0.25">
      <c r="A99" t="s">
        <v>9</v>
      </c>
      <c r="B99" s="104" t="s">
        <v>517</v>
      </c>
      <c r="C99" s="104" t="s">
        <v>1413</v>
      </c>
      <c r="D99" s="34" t="s">
        <v>1840</v>
      </c>
      <c r="E99" s="16">
        <v>2070</v>
      </c>
      <c r="F99" s="72">
        <f>E99/5280</f>
        <v>0.39204545454545453</v>
      </c>
      <c r="G99" s="2">
        <v>1959</v>
      </c>
      <c r="H99" s="38" t="s">
        <v>1841</v>
      </c>
      <c r="I99" s="34" t="s">
        <v>1842</v>
      </c>
      <c r="J99" s="107" t="s">
        <v>1843</v>
      </c>
    </row>
    <row r="100" spans="1:10" s="104" customFormat="1" ht="30" x14ac:dyDescent="0.25">
      <c r="A100" s="104" t="s">
        <v>9</v>
      </c>
      <c r="B100" s="104" t="s">
        <v>517</v>
      </c>
      <c r="C100" s="104" t="s">
        <v>1413</v>
      </c>
      <c r="D100" s="107" t="s">
        <v>1844</v>
      </c>
      <c r="E100" s="105">
        <v>107</v>
      </c>
      <c r="F100" s="258" t="s">
        <v>853</v>
      </c>
      <c r="G100" s="105">
        <v>2013</v>
      </c>
      <c r="H100" s="38"/>
      <c r="I100" s="107" t="s">
        <v>1846</v>
      </c>
      <c r="J100" s="107" t="s">
        <v>1454</v>
      </c>
    </row>
    <row r="101" spans="1:10" ht="30" x14ac:dyDescent="0.25">
      <c r="A101" t="s">
        <v>9</v>
      </c>
      <c r="B101" s="104" t="s">
        <v>517</v>
      </c>
      <c r="C101" s="104" t="s">
        <v>1413</v>
      </c>
      <c r="D101" s="107" t="s">
        <v>1845</v>
      </c>
      <c r="E101" s="105">
        <v>131</v>
      </c>
      <c r="F101" s="38" t="s">
        <v>853</v>
      </c>
      <c r="G101" s="2">
        <v>2013</v>
      </c>
      <c r="I101" s="107" t="s">
        <v>1847</v>
      </c>
      <c r="J101" s="107" t="s">
        <v>1454</v>
      </c>
    </row>
    <row r="102" spans="1:10" ht="45" x14ac:dyDescent="0.25">
      <c r="A102" t="s">
        <v>9</v>
      </c>
      <c r="B102" s="104" t="s">
        <v>517</v>
      </c>
      <c r="C102" s="104" t="s">
        <v>1413</v>
      </c>
      <c r="D102" s="34" t="s">
        <v>1853</v>
      </c>
      <c r="E102" s="2" t="s">
        <v>249</v>
      </c>
      <c r="F102" s="4" t="s">
        <v>249</v>
      </c>
      <c r="G102" s="2">
        <v>1959</v>
      </c>
      <c r="H102" s="38" t="s">
        <v>135</v>
      </c>
      <c r="I102" s="34" t="s">
        <v>117</v>
      </c>
      <c r="J102" s="107" t="s">
        <v>1854</v>
      </c>
    </row>
    <row r="103" spans="1:10" s="104" customFormat="1" ht="30" x14ac:dyDescent="0.25">
      <c r="A103" s="104" t="s">
        <v>9</v>
      </c>
      <c r="B103" s="104" t="s">
        <v>517</v>
      </c>
      <c r="C103" s="104" t="s">
        <v>1848</v>
      </c>
      <c r="D103" s="107" t="s">
        <v>1849</v>
      </c>
      <c r="E103" s="105">
        <v>400</v>
      </c>
      <c r="F103" s="72">
        <f t="shared" ref="F103" si="15">E103/5280</f>
        <v>7.575757575757576E-2</v>
      </c>
      <c r="G103" s="105" t="s">
        <v>158</v>
      </c>
      <c r="H103" s="38" t="s">
        <v>633</v>
      </c>
      <c r="I103" s="107" t="s">
        <v>1850</v>
      </c>
      <c r="J103" s="107" t="s">
        <v>1851</v>
      </c>
    </row>
    <row r="104" spans="1:10" ht="45" x14ac:dyDescent="0.25">
      <c r="A104" t="s">
        <v>9</v>
      </c>
      <c r="B104" s="104" t="s">
        <v>517</v>
      </c>
      <c r="C104" s="104" t="s">
        <v>1413</v>
      </c>
      <c r="D104" s="34" t="s">
        <v>1855</v>
      </c>
      <c r="E104" s="2" t="s">
        <v>249</v>
      </c>
      <c r="F104" s="4" t="s">
        <v>249</v>
      </c>
      <c r="G104" s="2">
        <v>1959</v>
      </c>
      <c r="H104" s="38" t="s">
        <v>136</v>
      </c>
      <c r="I104" s="34" t="s">
        <v>117</v>
      </c>
      <c r="J104" s="107" t="s">
        <v>1618</v>
      </c>
    </row>
    <row r="105" spans="1:10" s="104" customFormat="1" ht="45" x14ac:dyDescent="0.25">
      <c r="A105" s="104" t="s">
        <v>9</v>
      </c>
      <c r="B105" s="104" t="s">
        <v>517</v>
      </c>
      <c r="C105" s="104" t="s">
        <v>1856</v>
      </c>
      <c r="D105" s="107" t="s">
        <v>1857</v>
      </c>
      <c r="E105" s="105">
        <v>215</v>
      </c>
      <c r="F105" s="72">
        <f t="shared" ref="F105:F111" si="16">E105/5280</f>
        <v>4.0719696969696968E-2</v>
      </c>
      <c r="G105" s="105" t="s">
        <v>536</v>
      </c>
      <c r="H105" s="38"/>
      <c r="I105" s="107" t="s">
        <v>1864</v>
      </c>
      <c r="J105" s="107" t="s">
        <v>1865</v>
      </c>
    </row>
    <row r="106" spans="1:10" s="104" customFormat="1" ht="30" x14ac:dyDescent="0.25">
      <c r="A106" s="104" t="s">
        <v>9</v>
      </c>
      <c r="B106" s="104" t="s">
        <v>517</v>
      </c>
      <c r="C106" s="104" t="s">
        <v>1856</v>
      </c>
      <c r="D106" s="107" t="s">
        <v>1858</v>
      </c>
      <c r="E106" s="105">
        <v>75</v>
      </c>
      <c r="F106" s="72">
        <f t="shared" si="16"/>
        <v>1.4204545454545454E-2</v>
      </c>
      <c r="G106" s="105">
        <v>2013</v>
      </c>
      <c r="H106" s="38"/>
      <c r="I106" s="107" t="s">
        <v>1866</v>
      </c>
      <c r="J106" s="107" t="s">
        <v>1454</v>
      </c>
    </row>
    <row r="107" spans="1:10" s="104" customFormat="1" ht="45" x14ac:dyDescent="0.25">
      <c r="A107" s="104" t="s">
        <v>9</v>
      </c>
      <c r="B107" s="104" t="s">
        <v>517</v>
      </c>
      <c r="C107" s="104" t="s">
        <v>1856</v>
      </c>
      <c r="D107" s="107" t="s">
        <v>1859</v>
      </c>
      <c r="E107" s="105">
        <v>57</v>
      </c>
      <c r="F107" s="72">
        <f t="shared" si="16"/>
        <v>1.0795454545454546E-2</v>
      </c>
      <c r="G107" s="105">
        <v>2013</v>
      </c>
      <c r="H107" s="38"/>
      <c r="I107" s="107" t="s">
        <v>1867</v>
      </c>
      <c r="J107" s="107" t="s">
        <v>1454</v>
      </c>
    </row>
    <row r="108" spans="1:10" s="104" customFormat="1" ht="30" x14ac:dyDescent="0.25">
      <c r="A108" s="104" t="s">
        <v>9</v>
      </c>
      <c r="B108" s="104" t="s">
        <v>517</v>
      </c>
      <c r="C108" s="104" t="s">
        <v>1856</v>
      </c>
      <c r="D108" s="107" t="s">
        <v>1860</v>
      </c>
      <c r="E108" s="105">
        <v>50</v>
      </c>
      <c r="F108" s="72">
        <f t="shared" si="16"/>
        <v>9.46969696969697E-3</v>
      </c>
      <c r="G108" s="105">
        <v>2013</v>
      </c>
      <c r="H108" s="38"/>
      <c r="I108" s="107" t="s">
        <v>1868</v>
      </c>
      <c r="J108" s="107" t="s">
        <v>1454</v>
      </c>
    </row>
    <row r="109" spans="1:10" s="104" customFormat="1" ht="60" x14ac:dyDescent="0.25">
      <c r="A109" s="104" t="s">
        <v>9</v>
      </c>
      <c r="B109" s="104" t="s">
        <v>517</v>
      </c>
      <c r="C109" s="104" t="s">
        <v>1856</v>
      </c>
      <c r="D109" s="107" t="s">
        <v>1861</v>
      </c>
      <c r="E109" s="105">
        <v>200</v>
      </c>
      <c r="F109" s="72">
        <f t="shared" si="16"/>
        <v>3.787878787878788E-2</v>
      </c>
      <c r="G109" s="105">
        <v>2013</v>
      </c>
      <c r="H109" s="38"/>
      <c r="I109" s="107" t="s">
        <v>1869</v>
      </c>
      <c r="J109" s="107" t="s">
        <v>1870</v>
      </c>
    </row>
    <row r="110" spans="1:10" s="104" customFormat="1" ht="30" x14ac:dyDescent="0.25">
      <c r="A110" s="104" t="s">
        <v>9</v>
      </c>
      <c r="B110" s="104" t="s">
        <v>517</v>
      </c>
      <c r="C110" s="104" t="s">
        <v>1856</v>
      </c>
      <c r="D110" s="107" t="s">
        <v>1862</v>
      </c>
      <c r="E110" s="105">
        <v>134</v>
      </c>
      <c r="F110" s="72">
        <f t="shared" si="16"/>
        <v>2.5378787878787879E-2</v>
      </c>
      <c r="G110" s="105">
        <v>2013</v>
      </c>
      <c r="H110" s="38"/>
      <c r="I110" s="107" t="s">
        <v>1871</v>
      </c>
      <c r="J110" s="107" t="s">
        <v>1454</v>
      </c>
    </row>
    <row r="111" spans="1:10" s="104" customFormat="1" ht="30" x14ac:dyDescent="0.25">
      <c r="A111" s="104" t="s">
        <v>9</v>
      </c>
      <c r="B111" s="104" t="s">
        <v>517</v>
      </c>
      <c r="C111" s="104" t="s">
        <v>1856</v>
      </c>
      <c r="D111" s="107" t="s">
        <v>1863</v>
      </c>
      <c r="E111" s="105">
        <v>97</v>
      </c>
      <c r="F111" s="72">
        <f t="shared" si="16"/>
        <v>1.8371212121212122E-2</v>
      </c>
      <c r="G111" s="105">
        <v>2013</v>
      </c>
      <c r="H111" s="38"/>
      <c r="I111" s="107" t="s">
        <v>1872</v>
      </c>
      <c r="J111" s="107" t="s">
        <v>1454</v>
      </c>
    </row>
    <row r="112" spans="1:10" ht="60" x14ac:dyDescent="0.25">
      <c r="A112" t="s">
        <v>9</v>
      </c>
      <c r="B112" s="104" t="s">
        <v>517</v>
      </c>
      <c r="C112" s="104" t="s">
        <v>1412</v>
      </c>
      <c r="D112" s="34" t="s">
        <v>1873</v>
      </c>
      <c r="E112" s="67" t="s">
        <v>249</v>
      </c>
      <c r="F112" s="4" t="s">
        <v>249</v>
      </c>
      <c r="G112" s="105" t="s">
        <v>158</v>
      </c>
      <c r="H112" s="38">
        <v>2012</v>
      </c>
      <c r="I112" s="34" t="s">
        <v>243</v>
      </c>
      <c r="J112" s="112" t="s">
        <v>242</v>
      </c>
    </row>
    <row r="113" spans="1:10" s="104" customFormat="1" ht="45" x14ac:dyDescent="0.25">
      <c r="A113" s="104" t="s">
        <v>9</v>
      </c>
      <c r="B113" s="104" t="s">
        <v>517</v>
      </c>
      <c r="C113" s="104" t="s">
        <v>1412</v>
      </c>
      <c r="D113" s="107" t="s">
        <v>1874</v>
      </c>
      <c r="E113" s="67" t="s">
        <v>249</v>
      </c>
      <c r="F113" s="4" t="s">
        <v>249</v>
      </c>
      <c r="G113" s="105" t="s">
        <v>158</v>
      </c>
      <c r="H113" s="38">
        <v>2012</v>
      </c>
      <c r="I113" s="107" t="s">
        <v>243</v>
      </c>
      <c r="J113" s="112" t="s">
        <v>1877</v>
      </c>
    </row>
    <row r="114" spans="1:10" s="104" customFormat="1" ht="60" x14ac:dyDescent="0.25">
      <c r="A114" s="104" t="s">
        <v>9</v>
      </c>
      <c r="B114" s="104" t="s">
        <v>517</v>
      </c>
      <c r="C114" s="104" t="s">
        <v>1412</v>
      </c>
      <c r="D114" s="107" t="s">
        <v>1875</v>
      </c>
      <c r="E114" s="67" t="s">
        <v>249</v>
      </c>
      <c r="F114" s="4" t="s">
        <v>249</v>
      </c>
      <c r="G114" s="105" t="s">
        <v>158</v>
      </c>
      <c r="H114" s="38">
        <v>2012</v>
      </c>
      <c r="I114" s="107" t="s">
        <v>243</v>
      </c>
      <c r="J114" s="112" t="s">
        <v>1876</v>
      </c>
    </row>
    <row r="115" spans="1:10" ht="60" x14ac:dyDescent="0.25">
      <c r="A115" t="s">
        <v>9</v>
      </c>
      <c r="B115" s="104" t="s">
        <v>517</v>
      </c>
      <c r="C115" s="104" t="s">
        <v>1852</v>
      </c>
      <c r="D115" s="34" t="s">
        <v>1878</v>
      </c>
      <c r="E115" s="16">
        <v>2400</v>
      </c>
      <c r="F115" s="72">
        <f>E115/5280</f>
        <v>0.45454545454545453</v>
      </c>
      <c r="G115" s="2">
        <v>1966</v>
      </c>
      <c r="H115" s="38" t="s">
        <v>633</v>
      </c>
      <c r="I115" s="34" t="s">
        <v>1880</v>
      </c>
      <c r="J115" s="107" t="s">
        <v>1879</v>
      </c>
    </row>
    <row r="116" spans="1:10" ht="30" x14ac:dyDescent="0.25">
      <c r="A116" t="s">
        <v>9</v>
      </c>
      <c r="B116" s="104" t="s">
        <v>517</v>
      </c>
      <c r="C116" s="104" t="s">
        <v>1852</v>
      </c>
      <c r="D116" s="34" t="s">
        <v>1881</v>
      </c>
      <c r="E116" s="105" t="s">
        <v>249</v>
      </c>
      <c r="F116" s="4" t="s">
        <v>249</v>
      </c>
      <c r="G116" s="2">
        <v>1966</v>
      </c>
      <c r="H116" s="38"/>
      <c r="I116" s="34" t="s">
        <v>117</v>
      </c>
      <c r="J116" s="107" t="s">
        <v>1620</v>
      </c>
    </row>
    <row r="117" spans="1:10" ht="60" x14ac:dyDescent="0.25">
      <c r="A117" t="s">
        <v>9</v>
      </c>
      <c r="B117" s="104" t="s">
        <v>517</v>
      </c>
      <c r="C117" s="104" t="s">
        <v>1852</v>
      </c>
      <c r="D117" s="36" t="s">
        <v>1882</v>
      </c>
      <c r="E117" s="291">
        <v>1700</v>
      </c>
      <c r="F117" s="128">
        <f>E117/5280</f>
        <v>0.32196969696969696</v>
      </c>
      <c r="G117" s="105" t="s">
        <v>158</v>
      </c>
      <c r="H117" s="74" t="s">
        <v>633</v>
      </c>
      <c r="I117" s="112" t="s">
        <v>244</v>
      </c>
      <c r="J117" s="107" t="s">
        <v>1623</v>
      </c>
    </row>
    <row r="118" spans="1:10" ht="30" x14ac:dyDescent="0.25">
      <c r="A118" t="s">
        <v>9</v>
      </c>
      <c r="B118" s="104" t="s">
        <v>517</v>
      </c>
      <c r="C118" s="104" t="s">
        <v>1852</v>
      </c>
      <c r="D118" s="34" t="s">
        <v>1883</v>
      </c>
      <c r="E118" s="105" t="s">
        <v>249</v>
      </c>
      <c r="F118" s="4" t="s">
        <v>249</v>
      </c>
      <c r="G118" s="2">
        <v>1955</v>
      </c>
      <c r="H118" s="38" t="s">
        <v>121</v>
      </c>
      <c r="I118" s="34" t="s">
        <v>117</v>
      </c>
      <c r="J118" s="107" t="s">
        <v>1619</v>
      </c>
    </row>
    <row r="119" spans="1:10" ht="30" x14ac:dyDescent="0.25">
      <c r="A119" t="s">
        <v>9</v>
      </c>
      <c r="B119" s="104" t="s">
        <v>517</v>
      </c>
      <c r="C119" s="104" t="s">
        <v>1852</v>
      </c>
      <c r="D119" s="34" t="s">
        <v>1884</v>
      </c>
      <c r="E119" s="16">
        <v>2700</v>
      </c>
      <c r="F119" s="128">
        <f>E119/5280</f>
        <v>0.51136363636363635</v>
      </c>
      <c r="G119" s="105" t="s">
        <v>158</v>
      </c>
      <c r="H119" s="38" t="s">
        <v>633</v>
      </c>
      <c r="I119" s="34" t="s">
        <v>144</v>
      </c>
      <c r="J119" s="107" t="s">
        <v>1622</v>
      </c>
    </row>
    <row r="120" spans="1:10" s="104" customFormat="1" ht="30" x14ac:dyDescent="0.25">
      <c r="A120" s="104" t="s">
        <v>9</v>
      </c>
      <c r="B120" s="104" t="s">
        <v>517</v>
      </c>
      <c r="C120" s="104" t="s">
        <v>1852</v>
      </c>
      <c r="D120" s="107" t="s">
        <v>1885</v>
      </c>
      <c r="E120" s="105">
        <v>200</v>
      </c>
      <c r="F120" s="72">
        <f t="shared" ref="F120" si="17">E120/5280</f>
        <v>3.787878787878788E-2</v>
      </c>
      <c r="G120" s="105">
        <v>2013</v>
      </c>
      <c r="H120" s="38"/>
      <c r="I120" s="107" t="s">
        <v>1886</v>
      </c>
      <c r="J120" s="107" t="s">
        <v>1887</v>
      </c>
    </row>
    <row r="121" spans="1:10" ht="30" x14ac:dyDescent="0.25">
      <c r="A121" t="s">
        <v>9</v>
      </c>
      <c r="B121" s="104" t="s">
        <v>517</v>
      </c>
      <c r="C121" s="104" t="s">
        <v>1852</v>
      </c>
      <c r="D121" s="34" t="s">
        <v>1888</v>
      </c>
      <c r="E121" s="105" t="s">
        <v>249</v>
      </c>
      <c r="F121" s="4" t="s">
        <v>249</v>
      </c>
      <c r="G121" s="38">
        <v>1976</v>
      </c>
      <c r="H121" s="38">
        <v>1983</v>
      </c>
      <c r="I121" s="34" t="s">
        <v>117</v>
      </c>
      <c r="J121" s="107" t="s">
        <v>1621</v>
      </c>
    </row>
    <row r="122" spans="1:10" s="104" customFormat="1" ht="30" x14ac:dyDescent="0.25">
      <c r="A122" s="104" t="s">
        <v>9</v>
      </c>
      <c r="B122" s="104" t="s">
        <v>517</v>
      </c>
      <c r="C122" s="104" t="s">
        <v>1852</v>
      </c>
      <c r="D122" s="107" t="s">
        <v>2578</v>
      </c>
      <c r="E122" s="105">
        <v>655</v>
      </c>
      <c r="F122" s="72">
        <f t="shared" ref="F122:F128" si="18">E122/5280</f>
        <v>0.1240530303030303</v>
      </c>
      <c r="G122" s="105">
        <v>2013</v>
      </c>
      <c r="H122" s="38"/>
      <c r="I122" s="107" t="s">
        <v>1893</v>
      </c>
      <c r="J122" s="104" t="s">
        <v>1376</v>
      </c>
    </row>
    <row r="123" spans="1:10" s="104" customFormat="1" ht="30" x14ac:dyDescent="0.25">
      <c r="A123" s="104" t="s">
        <v>9</v>
      </c>
      <c r="B123" s="104" t="s">
        <v>517</v>
      </c>
      <c r="C123" s="104" t="s">
        <v>1852</v>
      </c>
      <c r="D123" s="107" t="s">
        <v>1889</v>
      </c>
      <c r="E123" s="105">
        <v>511</v>
      </c>
      <c r="F123" s="72">
        <f t="shared" si="18"/>
        <v>9.6780303030303036E-2</v>
      </c>
      <c r="G123" s="105">
        <v>2013</v>
      </c>
      <c r="H123" s="38"/>
      <c r="I123" s="107" t="s">
        <v>1894</v>
      </c>
      <c r="J123" s="107" t="s">
        <v>1454</v>
      </c>
    </row>
    <row r="124" spans="1:10" s="104" customFormat="1" ht="30" x14ac:dyDescent="0.25">
      <c r="A124" s="104" t="s">
        <v>9</v>
      </c>
      <c r="B124" s="104" t="s">
        <v>517</v>
      </c>
      <c r="C124" s="104" t="s">
        <v>1852</v>
      </c>
      <c r="D124" s="107" t="s">
        <v>2579</v>
      </c>
      <c r="E124" s="105">
        <v>300</v>
      </c>
      <c r="F124" s="72">
        <f t="shared" si="18"/>
        <v>5.6818181818181816E-2</v>
      </c>
      <c r="G124" s="105">
        <v>2013</v>
      </c>
      <c r="H124" s="38"/>
      <c r="I124" s="107" t="s">
        <v>2580</v>
      </c>
      <c r="J124" s="107" t="s">
        <v>1486</v>
      </c>
    </row>
    <row r="125" spans="1:10" s="104" customFormat="1" ht="30" x14ac:dyDescent="0.25">
      <c r="A125" s="104" t="s">
        <v>9</v>
      </c>
      <c r="B125" s="104" t="s">
        <v>517</v>
      </c>
      <c r="C125" s="104" t="s">
        <v>1852</v>
      </c>
      <c r="D125" s="107" t="s">
        <v>2583</v>
      </c>
      <c r="E125" s="105">
        <v>267</v>
      </c>
      <c r="F125" s="72">
        <f t="shared" si="18"/>
        <v>5.0568181818181818E-2</v>
      </c>
      <c r="G125" s="105">
        <v>2013</v>
      </c>
      <c r="H125" s="38"/>
      <c r="I125" s="107" t="s">
        <v>2581</v>
      </c>
      <c r="J125" s="107" t="s">
        <v>2582</v>
      </c>
    </row>
    <row r="126" spans="1:10" s="104" customFormat="1" ht="30" x14ac:dyDescent="0.25">
      <c r="A126" s="104" t="s">
        <v>9</v>
      </c>
      <c r="B126" s="104" t="s">
        <v>517</v>
      </c>
      <c r="C126" s="104" t="s">
        <v>1852</v>
      </c>
      <c r="D126" s="107" t="s">
        <v>1890</v>
      </c>
      <c r="E126" s="105">
        <v>225</v>
      </c>
      <c r="F126" s="72">
        <f t="shared" si="18"/>
        <v>4.261363636363636E-2</v>
      </c>
      <c r="G126" s="105">
        <v>2013</v>
      </c>
      <c r="H126" s="38"/>
      <c r="I126" s="107" t="s">
        <v>1895</v>
      </c>
      <c r="J126" s="107" t="s">
        <v>1454</v>
      </c>
    </row>
    <row r="127" spans="1:10" s="104" customFormat="1" ht="45" x14ac:dyDescent="0.25">
      <c r="A127" s="104" t="s">
        <v>9</v>
      </c>
      <c r="B127" s="104" t="s">
        <v>517</v>
      </c>
      <c r="C127" s="104" t="s">
        <v>1852</v>
      </c>
      <c r="D127" s="107" t="s">
        <v>1891</v>
      </c>
      <c r="E127" s="105">
        <v>329</v>
      </c>
      <c r="F127" s="72">
        <f t="shared" si="18"/>
        <v>6.2310606060606059E-2</v>
      </c>
      <c r="G127" s="105">
        <v>2013</v>
      </c>
      <c r="H127" s="38"/>
      <c r="I127" s="107" t="s">
        <v>1896</v>
      </c>
      <c r="J127" s="107" t="s">
        <v>1824</v>
      </c>
    </row>
    <row r="128" spans="1:10" s="104" customFormat="1" ht="75" x14ac:dyDescent="0.25">
      <c r="A128" s="104" t="s">
        <v>9</v>
      </c>
      <c r="B128" s="104" t="s">
        <v>517</v>
      </c>
      <c r="C128" s="104" t="s">
        <v>1852</v>
      </c>
      <c r="D128" s="107" t="s">
        <v>1892</v>
      </c>
      <c r="E128" s="16">
        <v>1256</v>
      </c>
      <c r="F128" s="72">
        <f t="shared" si="18"/>
        <v>0.23787878787878788</v>
      </c>
      <c r="G128" s="105">
        <v>2013</v>
      </c>
      <c r="H128" s="38"/>
      <c r="I128" s="107" t="s">
        <v>1897</v>
      </c>
      <c r="J128" s="107" t="s">
        <v>1898</v>
      </c>
    </row>
    <row r="129" spans="1:11" ht="30" x14ac:dyDescent="0.25">
      <c r="A129" t="s">
        <v>9</v>
      </c>
      <c r="B129" s="104" t="s">
        <v>517</v>
      </c>
      <c r="C129" s="104" t="s">
        <v>10</v>
      </c>
      <c r="D129" s="34" t="s">
        <v>1899</v>
      </c>
      <c r="E129" s="4" t="s">
        <v>249</v>
      </c>
      <c r="F129" s="4" t="s">
        <v>249</v>
      </c>
      <c r="G129" s="105" t="s">
        <v>158</v>
      </c>
      <c r="H129" s="38"/>
      <c r="I129" s="34" t="s">
        <v>139</v>
      </c>
      <c r="J129" s="107" t="s">
        <v>1900</v>
      </c>
      <c r="K129" s="34"/>
    </row>
    <row r="131" spans="1:11" x14ac:dyDescent="0.25">
      <c r="D131" s="92" t="s">
        <v>6</v>
      </c>
      <c r="E131" s="94">
        <f>SUM(E2:E130)</f>
        <v>49867</v>
      </c>
      <c r="F131" s="100">
        <f>SUM(F2:F129)-F132</f>
        <v>7.751325757575759</v>
      </c>
      <c r="G131" s="298" t="s">
        <v>320</v>
      </c>
      <c r="H131" s="111"/>
    </row>
    <row r="132" spans="1:11" x14ac:dyDescent="0.25">
      <c r="F132" s="73">
        <f>F56+F46+F4</f>
        <v>1.5814393939393938</v>
      </c>
      <c r="G132" s="97" t="s">
        <v>154</v>
      </c>
      <c r="H132" s="111"/>
    </row>
    <row r="134" spans="1:11" x14ac:dyDescent="0.25">
      <c r="A134" s="14" t="s">
        <v>247</v>
      </c>
      <c r="B134" s="124" t="s">
        <v>284</v>
      </c>
      <c r="C134"/>
    </row>
    <row r="135" spans="1:11" x14ac:dyDescent="0.25">
      <c r="A135" s="14"/>
      <c r="B135" s="124" t="s">
        <v>248</v>
      </c>
      <c r="C135"/>
    </row>
    <row r="136" spans="1:11" x14ac:dyDescent="0.25">
      <c r="A136" s="14"/>
      <c r="B136" s="124" t="s">
        <v>1411</v>
      </c>
      <c r="C136"/>
    </row>
    <row r="137" spans="1:11" x14ac:dyDescent="0.25">
      <c r="A137" s="14"/>
      <c r="B137" s="125" t="s">
        <v>484</v>
      </c>
      <c r="C137" s="29"/>
    </row>
    <row r="138" spans="1:11" x14ac:dyDescent="0.25">
      <c r="B138" s="11"/>
      <c r="C138" s="234" t="s">
        <v>483</v>
      </c>
    </row>
    <row r="141" spans="1:11" x14ac:dyDescent="0.25">
      <c r="D141" s="57"/>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2"/>
  <sheetViews>
    <sheetView workbookViewId="0"/>
  </sheetViews>
  <sheetFormatPr defaultRowHeight="15" x14ac:dyDescent="0.25"/>
  <cols>
    <col min="1" max="1" width="16.28515625" style="104" customWidth="1"/>
    <col min="2" max="2" width="12" style="113" customWidth="1"/>
    <col min="3" max="3" width="22.28515625" style="104" customWidth="1"/>
    <col min="4" max="4" width="38.5703125" style="104" customWidth="1"/>
    <col min="5" max="5" width="14.85546875" style="105" customWidth="1"/>
    <col min="6" max="6" width="14.85546875" style="104" customWidth="1"/>
    <col min="7" max="7" width="13.42578125" style="104" customWidth="1"/>
    <col min="8" max="8" width="13.5703125" style="104" customWidth="1"/>
    <col min="9" max="9" width="24.42578125" style="104" customWidth="1"/>
    <col min="10" max="10" width="94.42578125" style="107" customWidth="1"/>
    <col min="11" max="11" width="11" style="104" customWidth="1"/>
    <col min="12" max="12" width="10.5703125" style="104" bestFit="1" customWidth="1"/>
    <col min="13" max="16384" width="9.140625" style="104"/>
  </cols>
  <sheetData>
    <row r="1" spans="1:10" s="1" customFormat="1" ht="90" x14ac:dyDescent="0.25">
      <c r="A1" s="1" t="s">
        <v>0</v>
      </c>
      <c r="B1" s="312" t="s">
        <v>263</v>
      </c>
      <c r="C1" s="1" t="s">
        <v>264</v>
      </c>
      <c r="D1" s="1" t="s">
        <v>1</v>
      </c>
      <c r="E1" s="1" t="s">
        <v>5</v>
      </c>
      <c r="F1" s="1" t="s">
        <v>3</v>
      </c>
      <c r="G1" s="1" t="s">
        <v>2</v>
      </c>
      <c r="H1" s="48" t="s">
        <v>267</v>
      </c>
      <c r="I1" s="1" t="s">
        <v>4</v>
      </c>
      <c r="J1" s="1" t="s">
        <v>7</v>
      </c>
    </row>
    <row r="2" spans="1:10" s="15" customFormat="1" ht="30" x14ac:dyDescent="0.25">
      <c r="A2" s="15" t="s">
        <v>462</v>
      </c>
      <c r="B2" s="113" t="s">
        <v>517</v>
      </c>
      <c r="C2" s="104" t="s">
        <v>378</v>
      </c>
      <c r="D2" s="104" t="s">
        <v>1901</v>
      </c>
      <c r="E2" s="105">
        <v>326</v>
      </c>
      <c r="F2" s="18">
        <f t="shared" ref="F2:F17" si="0">E2/5280</f>
        <v>6.1742424242424244E-2</v>
      </c>
      <c r="G2" s="38">
        <v>2013</v>
      </c>
      <c r="H2" s="117"/>
      <c r="I2" s="107" t="s">
        <v>1912</v>
      </c>
      <c r="J2" s="107" t="s">
        <v>1913</v>
      </c>
    </row>
    <row r="3" spans="1:10" s="15" customFormat="1" ht="45" x14ac:dyDescent="0.25">
      <c r="A3" s="15" t="s">
        <v>462</v>
      </c>
      <c r="B3" s="113" t="s">
        <v>517</v>
      </c>
      <c r="C3" s="104" t="s">
        <v>378</v>
      </c>
      <c r="D3" s="107" t="s">
        <v>1958</v>
      </c>
      <c r="E3" s="67">
        <v>943</v>
      </c>
      <c r="F3" s="305" t="s">
        <v>1959</v>
      </c>
      <c r="G3" s="38">
        <v>2013</v>
      </c>
      <c r="H3" s="117"/>
      <c r="I3" s="107" t="s">
        <v>1914</v>
      </c>
      <c r="J3" s="107" t="s">
        <v>1915</v>
      </c>
    </row>
    <row r="4" spans="1:10" s="15" customFormat="1" ht="45" x14ac:dyDescent="0.25">
      <c r="A4" s="15" t="s">
        <v>462</v>
      </c>
      <c r="B4" s="113" t="s">
        <v>517</v>
      </c>
      <c r="C4" s="104" t="s">
        <v>378</v>
      </c>
      <c r="D4" s="107" t="s">
        <v>1902</v>
      </c>
      <c r="E4" s="105">
        <v>368</v>
      </c>
      <c r="F4" s="18">
        <f t="shared" si="0"/>
        <v>6.9696969696969702E-2</v>
      </c>
      <c r="G4" s="38" t="s">
        <v>1909</v>
      </c>
      <c r="H4" s="117">
        <v>2014</v>
      </c>
      <c r="I4" s="107" t="s">
        <v>1916</v>
      </c>
      <c r="J4" s="107" t="s">
        <v>1917</v>
      </c>
    </row>
    <row r="5" spans="1:10" s="15" customFormat="1" ht="75" x14ac:dyDescent="0.25">
      <c r="A5" s="15" t="s">
        <v>462</v>
      </c>
      <c r="B5" s="113" t="s">
        <v>517</v>
      </c>
      <c r="C5" s="104" t="s">
        <v>378</v>
      </c>
      <c r="D5" s="104" t="s">
        <v>1903</v>
      </c>
      <c r="E5" s="256">
        <v>1569</v>
      </c>
      <c r="F5" s="18">
        <f t="shared" si="0"/>
        <v>0.29715909090909093</v>
      </c>
      <c r="G5" s="38" t="s">
        <v>158</v>
      </c>
      <c r="H5" s="117" t="s">
        <v>1928</v>
      </c>
      <c r="I5" s="107" t="s">
        <v>1929</v>
      </c>
      <c r="J5" s="107" t="s">
        <v>1930</v>
      </c>
    </row>
    <row r="6" spans="1:10" s="15" customFormat="1" ht="30" x14ac:dyDescent="0.25">
      <c r="A6" s="15" t="s">
        <v>462</v>
      </c>
      <c r="B6" s="113" t="s">
        <v>517</v>
      </c>
      <c r="C6" s="104" t="s">
        <v>378</v>
      </c>
      <c r="D6" s="107" t="s">
        <v>1904</v>
      </c>
      <c r="E6" s="105">
        <v>100</v>
      </c>
      <c r="F6" s="18">
        <f t="shared" si="0"/>
        <v>1.893939393939394E-2</v>
      </c>
      <c r="G6" s="38">
        <v>2013</v>
      </c>
      <c r="H6" s="108"/>
      <c r="I6" s="107" t="s">
        <v>1918</v>
      </c>
      <c r="J6" s="107" t="s">
        <v>1919</v>
      </c>
    </row>
    <row r="7" spans="1:10" s="15" customFormat="1" ht="30" x14ac:dyDescent="0.25">
      <c r="A7" s="15" t="s">
        <v>462</v>
      </c>
      <c r="B7" s="113" t="s">
        <v>517</v>
      </c>
      <c r="C7" s="104" t="s">
        <v>378</v>
      </c>
      <c r="D7" s="107" t="s">
        <v>1905</v>
      </c>
      <c r="E7" s="105">
        <v>280</v>
      </c>
      <c r="F7" s="133" t="s">
        <v>853</v>
      </c>
      <c r="G7" s="38" t="s">
        <v>1909</v>
      </c>
      <c r="H7" s="117"/>
      <c r="I7" s="107" t="s">
        <v>1920</v>
      </c>
      <c r="J7" s="107" t="s">
        <v>1921</v>
      </c>
    </row>
    <row r="8" spans="1:10" s="15" customFormat="1" ht="90" x14ac:dyDescent="0.25">
      <c r="A8" s="15" t="s">
        <v>462</v>
      </c>
      <c r="B8" s="113" t="s">
        <v>517</v>
      </c>
      <c r="C8" s="104" t="s">
        <v>378</v>
      </c>
      <c r="D8" s="107" t="s">
        <v>1906</v>
      </c>
      <c r="E8" s="16">
        <v>3100</v>
      </c>
      <c r="F8" s="72">
        <f t="shared" si="0"/>
        <v>0.58712121212121215</v>
      </c>
      <c r="G8" s="150" t="s">
        <v>1910</v>
      </c>
      <c r="H8" s="117"/>
      <c r="I8" s="107" t="s">
        <v>1922</v>
      </c>
      <c r="J8" s="107" t="s">
        <v>1923</v>
      </c>
    </row>
    <row r="9" spans="1:10" s="15" customFormat="1" ht="30" x14ac:dyDescent="0.25">
      <c r="A9" s="15" t="s">
        <v>462</v>
      </c>
      <c r="B9" s="113" t="s">
        <v>517</v>
      </c>
      <c r="C9" s="104" t="s">
        <v>378</v>
      </c>
      <c r="D9" s="107" t="s">
        <v>1907</v>
      </c>
      <c r="E9" s="105">
        <v>135</v>
      </c>
      <c r="F9" s="18">
        <f t="shared" si="0"/>
        <v>2.556818181818182E-2</v>
      </c>
      <c r="G9" s="38">
        <v>2014</v>
      </c>
      <c r="H9" s="117"/>
      <c r="I9" s="107" t="s">
        <v>1924</v>
      </c>
      <c r="J9" s="107" t="s">
        <v>1925</v>
      </c>
    </row>
    <row r="10" spans="1:10" s="15" customFormat="1" ht="45" x14ac:dyDescent="0.25">
      <c r="A10" s="15" t="s">
        <v>462</v>
      </c>
      <c r="B10" s="113" t="s">
        <v>517</v>
      </c>
      <c r="C10" s="104" t="s">
        <v>378</v>
      </c>
      <c r="D10" s="107" t="s">
        <v>1908</v>
      </c>
      <c r="E10" s="105">
        <v>185</v>
      </c>
      <c r="F10" s="18">
        <f t="shared" si="0"/>
        <v>3.5037878787878785E-2</v>
      </c>
      <c r="G10" s="38" t="s">
        <v>1911</v>
      </c>
      <c r="H10" s="117"/>
      <c r="I10" s="107" t="s">
        <v>1926</v>
      </c>
      <c r="J10" s="107" t="s">
        <v>1927</v>
      </c>
    </row>
    <row r="11" spans="1:10" s="235" customFormat="1" ht="45" x14ac:dyDescent="0.25">
      <c r="A11" s="235" t="s">
        <v>462</v>
      </c>
      <c r="B11" s="313" t="s">
        <v>517</v>
      </c>
      <c r="C11" s="142" t="s">
        <v>378</v>
      </c>
      <c r="D11" s="144" t="s">
        <v>1931</v>
      </c>
      <c r="E11" s="254">
        <v>145</v>
      </c>
      <c r="F11" s="140">
        <f t="shared" si="0"/>
        <v>2.7462121212121212E-2</v>
      </c>
      <c r="G11" s="235" t="s">
        <v>154</v>
      </c>
      <c r="I11" s="144" t="s">
        <v>1941</v>
      </c>
      <c r="J11" s="144" t="s">
        <v>1942</v>
      </c>
    </row>
    <row r="12" spans="1:10" s="15" customFormat="1" ht="60" x14ac:dyDescent="0.25">
      <c r="A12" s="15" t="s">
        <v>462</v>
      </c>
      <c r="B12" s="113" t="s">
        <v>517</v>
      </c>
      <c r="C12" s="104" t="s">
        <v>378</v>
      </c>
      <c r="D12" s="107" t="s">
        <v>1932</v>
      </c>
      <c r="E12" s="105">
        <v>817</v>
      </c>
      <c r="F12" s="72">
        <f t="shared" si="0"/>
        <v>0.15473484848484848</v>
      </c>
      <c r="G12" s="105">
        <v>2015</v>
      </c>
      <c r="H12" s="117"/>
      <c r="I12" s="107" t="s">
        <v>1943</v>
      </c>
      <c r="J12" s="107" t="s">
        <v>1944</v>
      </c>
    </row>
    <row r="13" spans="1:10" s="15" customFormat="1" ht="90" x14ac:dyDescent="0.25">
      <c r="A13" s="15" t="s">
        <v>462</v>
      </c>
      <c r="B13" s="113" t="s">
        <v>517</v>
      </c>
      <c r="C13" s="104" t="s">
        <v>1633</v>
      </c>
      <c r="D13" s="107" t="s">
        <v>1933</v>
      </c>
      <c r="E13" s="105">
        <v>220</v>
      </c>
      <c r="F13" s="18">
        <f t="shared" si="0"/>
        <v>4.1666666666666664E-2</v>
      </c>
      <c r="G13" s="105">
        <v>2013</v>
      </c>
      <c r="H13" s="117"/>
      <c r="I13" s="107" t="s">
        <v>1945</v>
      </c>
      <c r="J13" s="107" t="s">
        <v>1946</v>
      </c>
    </row>
    <row r="14" spans="1:10" s="15" customFormat="1" ht="30" x14ac:dyDescent="0.25">
      <c r="A14" s="15" t="s">
        <v>462</v>
      </c>
      <c r="B14" s="113" t="s">
        <v>517</v>
      </c>
      <c r="C14" s="104" t="s">
        <v>1934</v>
      </c>
      <c r="D14" s="107" t="s">
        <v>1935</v>
      </c>
      <c r="E14" s="105">
        <v>522</v>
      </c>
      <c r="F14" s="18">
        <f t="shared" si="0"/>
        <v>9.8863636363636362E-2</v>
      </c>
      <c r="G14" s="105" t="s">
        <v>1909</v>
      </c>
      <c r="H14" s="117"/>
      <c r="I14" s="107" t="s">
        <v>1947</v>
      </c>
      <c r="J14" s="107" t="s">
        <v>1948</v>
      </c>
    </row>
    <row r="15" spans="1:10" s="15" customFormat="1" ht="30" x14ac:dyDescent="0.25">
      <c r="A15" s="15" t="s">
        <v>462</v>
      </c>
      <c r="B15" s="113" t="s">
        <v>517</v>
      </c>
      <c r="C15" s="104" t="s">
        <v>1934</v>
      </c>
      <c r="D15" s="107" t="s">
        <v>1936</v>
      </c>
      <c r="E15" s="105">
        <v>220</v>
      </c>
      <c r="F15" s="18">
        <f t="shared" si="0"/>
        <v>4.1666666666666664E-2</v>
      </c>
      <c r="G15" s="105" t="s">
        <v>1909</v>
      </c>
      <c r="H15" s="117"/>
      <c r="I15" s="107" t="s">
        <v>1949</v>
      </c>
      <c r="J15" s="107" t="s">
        <v>1950</v>
      </c>
    </row>
    <row r="16" spans="1:10" s="117" customFormat="1" ht="30" x14ac:dyDescent="0.25">
      <c r="A16" s="15" t="s">
        <v>462</v>
      </c>
      <c r="B16" s="77" t="s">
        <v>517</v>
      </c>
      <c r="C16" s="77" t="s">
        <v>1934</v>
      </c>
      <c r="D16" s="77" t="s">
        <v>2586</v>
      </c>
      <c r="E16" s="307">
        <v>12500</v>
      </c>
      <c r="F16" s="132">
        <f>E16/5280</f>
        <v>2.3674242424242422</v>
      </c>
      <c r="G16" s="117" t="s">
        <v>146</v>
      </c>
      <c r="I16" s="77" t="s">
        <v>379</v>
      </c>
      <c r="J16" s="77" t="s">
        <v>1991</v>
      </c>
    </row>
    <row r="17" spans="1:10" s="15" customFormat="1" ht="30" x14ac:dyDescent="0.25">
      <c r="A17" s="15" t="s">
        <v>462</v>
      </c>
      <c r="B17" s="113" t="s">
        <v>517</v>
      </c>
      <c r="C17" s="104" t="s">
        <v>1934</v>
      </c>
      <c r="D17" s="107" t="s">
        <v>1937</v>
      </c>
      <c r="E17" s="105">
        <v>176</v>
      </c>
      <c r="F17" s="18">
        <f t="shared" si="0"/>
        <v>3.3333333333333333E-2</v>
      </c>
      <c r="G17" s="105" t="s">
        <v>1909</v>
      </c>
      <c r="H17" s="117"/>
      <c r="I17" s="107" t="s">
        <v>1951</v>
      </c>
      <c r="J17" s="107" t="s">
        <v>1950</v>
      </c>
    </row>
    <row r="18" spans="1:10" s="15" customFormat="1" ht="30" x14ac:dyDescent="0.25">
      <c r="A18" s="15" t="s">
        <v>462</v>
      </c>
      <c r="B18" s="113" t="s">
        <v>517</v>
      </c>
      <c r="C18" s="104" t="s">
        <v>1934</v>
      </c>
      <c r="D18" s="107" t="s">
        <v>1938</v>
      </c>
      <c r="E18" s="105">
        <v>266</v>
      </c>
      <c r="F18" s="305" t="s">
        <v>853</v>
      </c>
      <c r="G18" s="105">
        <v>2013</v>
      </c>
      <c r="H18" s="117"/>
      <c r="I18" s="107" t="s">
        <v>1952</v>
      </c>
      <c r="J18" s="107" t="s">
        <v>1953</v>
      </c>
    </row>
    <row r="19" spans="1:10" s="15" customFormat="1" ht="45" x14ac:dyDescent="0.25">
      <c r="A19" s="15" t="s">
        <v>462</v>
      </c>
      <c r="B19" s="113" t="s">
        <v>517</v>
      </c>
      <c r="C19" s="104" t="s">
        <v>1934</v>
      </c>
      <c r="D19" s="107" t="s">
        <v>1939</v>
      </c>
      <c r="E19" s="105">
        <v>241</v>
      </c>
      <c r="F19" s="305" t="s">
        <v>853</v>
      </c>
      <c r="G19" s="105">
        <v>2013</v>
      </c>
      <c r="H19" s="117"/>
      <c r="I19" s="107" t="s">
        <v>1954</v>
      </c>
      <c r="J19" s="107" t="s">
        <v>1955</v>
      </c>
    </row>
    <row r="20" spans="1:10" s="15" customFormat="1" ht="30" x14ac:dyDescent="0.25">
      <c r="A20" s="15" t="s">
        <v>462</v>
      </c>
      <c r="B20" s="113" t="s">
        <v>517</v>
      </c>
      <c r="C20" s="104" t="s">
        <v>1934</v>
      </c>
      <c r="D20" s="107" t="s">
        <v>1940</v>
      </c>
      <c r="E20" s="105">
        <v>290</v>
      </c>
      <c r="F20" s="305" t="s">
        <v>853</v>
      </c>
      <c r="G20" s="105">
        <v>2013</v>
      </c>
      <c r="H20" s="117"/>
      <c r="I20" s="107" t="s">
        <v>1956</v>
      </c>
      <c r="J20" s="107" t="s">
        <v>1957</v>
      </c>
    </row>
    <row r="21" spans="1:10" s="235" customFormat="1" ht="45" x14ac:dyDescent="0.25">
      <c r="A21" s="235" t="s">
        <v>462</v>
      </c>
      <c r="B21" s="313" t="s">
        <v>517</v>
      </c>
      <c r="C21" s="142" t="s">
        <v>1934</v>
      </c>
      <c r="D21" s="144" t="s">
        <v>1960</v>
      </c>
      <c r="E21" s="254">
        <v>300</v>
      </c>
      <c r="F21" s="306" t="s">
        <v>853</v>
      </c>
      <c r="G21" s="254" t="s">
        <v>154</v>
      </c>
      <c r="I21" s="144" t="s">
        <v>1972</v>
      </c>
      <c r="J21" s="144" t="s">
        <v>1973</v>
      </c>
    </row>
    <row r="22" spans="1:10" s="15" customFormat="1" ht="30" x14ac:dyDescent="0.25">
      <c r="A22" s="15" t="s">
        <v>462</v>
      </c>
      <c r="B22" s="113" t="s">
        <v>517</v>
      </c>
      <c r="C22" s="104" t="s">
        <v>1934</v>
      </c>
      <c r="D22" s="107" t="s">
        <v>1961</v>
      </c>
      <c r="E22" s="105">
        <v>265</v>
      </c>
      <c r="F22" s="305" t="s">
        <v>853</v>
      </c>
      <c r="G22" s="105">
        <v>2014</v>
      </c>
      <c r="H22" s="117"/>
      <c r="I22" s="107" t="s">
        <v>1974</v>
      </c>
      <c r="J22" s="107" t="s">
        <v>1975</v>
      </c>
    </row>
    <row r="23" spans="1:10" s="15" customFormat="1" ht="30" x14ac:dyDescent="0.25">
      <c r="A23" s="15" t="s">
        <v>462</v>
      </c>
      <c r="B23" s="113" t="s">
        <v>517</v>
      </c>
      <c r="C23" s="104" t="s">
        <v>1934</v>
      </c>
      <c r="D23" s="107" t="s">
        <v>1962</v>
      </c>
      <c r="E23" s="105">
        <v>400</v>
      </c>
      <c r="F23" s="305" t="s">
        <v>853</v>
      </c>
      <c r="G23" s="105">
        <v>2013</v>
      </c>
      <c r="H23" s="117"/>
      <c r="I23" s="107" t="s">
        <v>1976</v>
      </c>
      <c r="J23" s="107" t="s">
        <v>1977</v>
      </c>
    </row>
    <row r="24" spans="1:10" s="15" customFormat="1" ht="30" x14ac:dyDescent="0.25">
      <c r="A24" s="15" t="s">
        <v>462</v>
      </c>
      <c r="B24" s="113" t="s">
        <v>517</v>
      </c>
      <c r="C24" s="104" t="s">
        <v>1934</v>
      </c>
      <c r="D24" s="107" t="s">
        <v>1963</v>
      </c>
      <c r="E24" s="105">
        <v>115</v>
      </c>
      <c r="F24" s="305" t="s">
        <v>853</v>
      </c>
      <c r="G24" s="105" t="s">
        <v>1971</v>
      </c>
      <c r="H24" s="117"/>
      <c r="I24" s="107" t="s">
        <v>1978</v>
      </c>
      <c r="J24" s="107" t="s">
        <v>1979</v>
      </c>
    </row>
    <row r="25" spans="1:10" s="15" customFormat="1" ht="75" x14ac:dyDescent="0.25">
      <c r="A25" s="15" t="s">
        <v>462</v>
      </c>
      <c r="B25" s="113" t="s">
        <v>517</v>
      </c>
      <c r="C25" s="104" t="s">
        <v>1934</v>
      </c>
      <c r="D25" s="107" t="s">
        <v>1964</v>
      </c>
      <c r="E25" s="105">
        <v>168</v>
      </c>
      <c r="F25" s="305" t="s">
        <v>853</v>
      </c>
      <c r="G25" s="105" t="s">
        <v>1971</v>
      </c>
      <c r="H25" s="117"/>
      <c r="I25" s="107" t="s">
        <v>1980</v>
      </c>
      <c r="J25" s="107" t="s">
        <v>1981</v>
      </c>
    </row>
    <row r="26" spans="1:10" s="15" customFormat="1" ht="30" x14ac:dyDescent="0.25">
      <c r="A26" s="15" t="s">
        <v>462</v>
      </c>
      <c r="B26" s="113" t="s">
        <v>517</v>
      </c>
      <c r="C26" s="104" t="s">
        <v>1934</v>
      </c>
      <c r="D26" s="107" t="s">
        <v>1965</v>
      </c>
      <c r="E26" s="105">
        <v>290</v>
      </c>
      <c r="F26" s="305" t="s">
        <v>853</v>
      </c>
      <c r="G26" s="105" t="s">
        <v>1909</v>
      </c>
      <c r="H26" s="117"/>
      <c r="I26" s="107" t="s">
        <v>1982</v>
      </c>
      <c r="J26" s="107" t="s">
        <v>1983</v>
      </c>
    </row>
    <row r="27" spans="1:10" s="15" customFormat="1" ht="30" x14ac:dyDescent="0.25">
      <c r="A27" s="15" t="s">
        <v>462</v>
      </c>
      <c r="B27" s="113" t="s">
        <v>517</v>
      </c>
      <c r="C27" s="104" t="s">
        <v>1934</v>
      </c>
      <c r="D27" s="107" t="s">
        <v>1966</v>
      </c>
      <c r="E27" s="105">
        <v>410</v>
      </c>
      <c r="F27" s="305" t="s">
        <v>853</v>
      </c>
      <c r="G27" s="105" t="s">
        <v>1971</v>
      </c>
      <c r="H27" s="117"/>
      <c r="I27" s="107" t="s">
        <v>1984</v>
      </c>
      <c r="J27" s="107" t="s">
        <v>1983</v>
      </c>
    </row>
    <row r="28" spans="1:10" s="15" customFormat="1" ht="45" x14ac:dyDescent="0.25">
      <c r="A28" s="15" t="s">
        <v>462</v>
      </c>
      <c r="B28" s="113" t="s">
        <v>517</v>
      </c>
      <c r="C28" s="104" t="s">
        <v>1934</v>
      </c>
      <c r="D28" s="107" t="s">
        <v>1967</v>
      </c>
      <c r="E28" s="105">
        <v>860</v>
      </c>
      <c r="F28" s="305" t="s">
        <v>853</v>
      </c>
      <c r="G28" s="105">
        <v>2013</v>
      </c>
      <c r="H28" s="117"/>
      <c r="I28" s="107" t="s">
        <v>1985</v>
      </c>
      <c r="J28" s="107" t="s">
        <v>1986</v>
      </c>
    </row>
    <row r="29" spans="1:10" s="15" customFormat="1" ht="45" x14ac:dyDescent="0.25">
      <c r="A29" s="15" t="s">
        <v>462</v>
      </c>
      <c r="B29" s="113" t="s">
        <v>517</v>
      </c>
      <c r="C29" s="104" t="s">
        <v>1968</v>
      </c>
      <c r="D29" s="104" t="s">
        <v>1969</v>
      </c>
      <c r="E29" s="105">
        <v>588</v>
      </c>
      <c r="F29" s="72">
        <f t="shared" ref="F29" si="1">E29/5280</f>
        <v>0.11136363636363636</v>
      </c>
      <c r="G29" s="105">
        <v>2006</v>
      </c>
      <c r="H29" s="117">
        <v>2016</v>
      </c>
      <c r="I29" s="107" t="s">
        <v>1987</v>
      </c>
      <c r="J29" s="107" t="s">
        <v>1988</v>
      </c>
    </row>
    <row r="30" spans="1:10" s="15" customFormat="1" ht="75" x14ac:dyDescent="0.25">
      <c r="A30" s="15" t="s">
        <v>462</v>
      </c>
      <c r="B30" s="113" t="s">
        <v>517</v>
      </c>
      <c r="C30" s="104" t="s">
        <v>1968</v>
      </c>
      <c r="D30" s="104" t="s">
        <v>1970</v>
      </c>
      <c r="E30" s="242">
        <v>2460</v>
      </c>
      <c r="F30" s="18">
        <f>E30/5280</f>
        <v>0.46590909090909088</v>
      </c>
      <c r="G30" s="105" t="s">
        <v>1971</v>
      </c>
      <c r="H30" s="117"/>
      <c r="I30" s="107" t="s">
        <v>1989</v>
      </c>
      <c r="J30" s="107" t="s">
        <v>1990</v>
      </c>
    </row>
    <row r="31" spans="1:10" s="15" customFormat="1" ht="60" x14ac:dyDescent="0.25">
      <c r="A31" s="15" t="s">
        <v>462</v>
      </c>
      <c r="B31" s="113" t="s">
        <v>517</v>
      </c>
      <c r="C31" s="104" t="s">
        <v>2587</v>
      </c>
      <c r="D31" s="104" t="s">
        <v>2004</v>
      </c>
      <c r="E31" s="16">
        <v>13864</v>
      </c>
      <c r="F31" s="72">
        <f>E31/5280</f>
        <v>2.625757575757576</v>
      </c>
      <c r="G31" s="67" t="s">
        <v>1971</v>
      </c>
      <c r="H31" s="117"/>
      <c r="I31" s="112" t="s">
        <v>2005</v>
      </c>
      <c r="J31" s="112" t="s">
        <v>2021</v>
      </c>
    </row>
    <row r="32" spans="1:10" s="15" customFormat="1" ht="30" x14ac:dyDescent="0.25">
      <c r="A32" s="15" t="s">
        <v>462</v>
      </c>
      <c r="B32" s="113" t="s">
        <v>517</v>
      </c>
      <c r="C32" s="104" t="s">
        <v>1992</v>
      </c>
      <c r="D32" s="104" t="s">
        <v>1993</v>
      </c>
      <c r="E32" s="105">
        <v>107</v>
      </c>
      <c r="F32" s="305" t="s">
        <v>853</v>
      </c>
      <c r="G32" s="105">
        <v>2014</v>
      </c>
      <c r="H32" s="117"/>
      <c r="I32" s="107" t="s">
        <v>2006</v>
      </c>
      <c r="J32" s="107" t="s">
        <v>2007</v>
      </c>
    </row>
    <row r="33" spans="1:10" s="15" customFormat="1" ht="120" x14ac:dyDescent="0.25">
      <c r="A33" s="15" t="s">
        <v>462</v>
      </c>
      <c r="B33" s="113" t="s">
        <v>517</v>
      </c>
      <c r="C33" s="104" t="s">
        <v>1992</v>
      </c>
      <c r="D33" s="104" t="s">
        <v>1994</v>
      </c>
      <c r="E33" s="105">
        <v>1353</v>
      </c>
      <c r="F33" s="305" t="s">
        <v>853</v>
      </c>
      <c r="G33" s="105" t="s">
        <v>1909</v>
      </c>
      <c r="H33" s="117"/>
      <c r="I33" s="107" t="s">
        <v>2008</v>
      </c>
      <c r="J33" s="112" t="s">
        <v>2009</v>
      </c>
    </row>
    <row r="34" spans="1:10" s="15" customFormat="1" ht="75" x14ac:dyDescent="0.25">
      <c r="A34" s="15" t="s">
        <v>462</v>
      </c>
      <c r="B34" s="113" t="s">
        <v>517</v>
      </c>
      <c r="C34" s="104" t="s">
        <v>1992</v>
      </c>
      <c r="D34" s="104" t="s">
        <v>1995</v>
      </c>
      <c r="E34" s="16">
        <v>858</v>
      </c>
      <c r="F34" s="305" t="s">
        <v>853</v>
      </c>
      <c r="G34" s="67" t="s">
        <v>1909</v>
      </c>
      <c r="H34" s="117"/>
      <c r="I34" s="112" t="s">
        <v>2010</v>
      </c>
      <c r="J34" s="112" t="s">
        <v>2009</v>
      </c>
    </row>
    <row r="35" spans="1:10" s="15" customFormat="1" ht="30" x14ac:dyDescent="0.25">
      <c r="A35" s="15" t="s">
        <v>462</v>
      </c>
      <c r="B35" s="113" t="s">
        <v>517</v>
      </c>
      <c r="C35" s="104" t="s">
        <v>1992</v>
      </c>
      <c r="D35" s="104" t="s">
        <v>1996</v>
      </c>
      <c r="E35" s="105">
        <v>92</v>
      </c>
      <c r="F35" s="305" t="s">
        <v>853</v>
      </c>
      <c r="G35" s="105" t="s">
        <v>1909</v>
      </c>
      <c r="H35" s="108"/>
      <c r="I35" s="107" t="s">
        <v>2011</v>
      </c>
      <c r="J35" s="107" t="s">
        <v>2007</v>
      </c>
    </row>
    <row r="36" spans="1:10" s="117" customFormat="1" ht="30" x14ac:dyDescent="0.25">
      <c r="A36" s="15" t="s">
        <v>462</v>
      </c>
      <c r="B36" s="113" t="s">
        <v>517</v>
      </c>
      <c r="C36" s="104" t="s">
        <v>1992</v>
      </c>
      <c r="D36" s="104" t="s">
        <v>1997</v>
      </c>
      <c r="E36" s="16">
        <v>75</v>
      </c>
      <c r="F36" s="305" t="s">
        <v>853</v>
      </c>
      <c r="G36" s="67" t="s">
        <v>1909</v>
      </c>
      <c r="I36" s="112" t="s">
        <v>2012</v>
      </c>
      <c r="J36" s="112" t="s">
        <v>2007</v>
      </c>
    </row>
    <row r="37" spans="1:10" ht="30" x14ac:dyDescent="0.25">
      <c r="A37" s="15" t="s">
        <v>462</v>
      </c>
      <c r="B37" s="113" t="s">
        <v>517</v>
      </c>
      <c r="C37" s="104" t="s">
        <v>1992</v>
      </c>
      <c r="D37" s="104" t="s">
        <v>1998</v>
      </c>
      <c r="E37" s="16">
        <v>676</v>
      </c>
      <c r="F37" s="305" t="s">
        <v>853</v>
      </c>
      <c r="G37" s="67" t="s">
        <v>1909</v>
      </c>
      <c r="I37" s="112" t="s">
        <v>2013</v>
      </c>
      <c r="J37" s="112" t="s">
        <v>2007</v>
      </c>
    </row>
    <row r="38" spans="1:10" ht="30" x14ac:dyDescent="0.25">
      <c r="A38" s="15" t="s">
        <v>462</v>
      </c>
      <c r="B38" s="113" t="s">
        <v>517</v>
      </c>
      <c r="C38" s="104" t="s">
        <v>1992</v>
      </c>
      <c r="D38" s="104" t="s">
        <v>1999</v>
      </c>
      <c r="E38" s="16">
        <v>182</v>
      </c>
      <c r="F38" s="305" t="s">
        <v>853</v>
      </c>
      <c r="G38" s="67">
        <v>2012</v>
      </c>
      <c r="I38" s="112" t="s">
        <v>2014</v>
      </c>
      <c r="J38" s="112" t="s">
        <v>2007</v>
      </c>
    </row>
    <row r="39" spans="1:10" ht="30" x14ac:dyDescent="0.25">
      <c r="A39" s="15" t="s">
        <v>462</v>
      </c>
      <c r="B39" s="113" t="s">
        <v>517</v>
      </c>
      <c r="C39" s="104" t="s">
        <v>1992</v>
      </c>
      <c r="D39" s="104" t="s">
        <v>2000</v>
      </c>
      <c r="E39" s="16">
        <v>433</v>
      </c>
      <c r="F39" s="305" t="s">
        <v>853</v>
      </c>
      <c r="G39" s="67">
        <v>2013</v>
      </c>
      <c r="I39" s="112" t="s">
        <v>2015</v>
      </c>
      <c r="J39" s="112" t="s">
        <v>2016</v>
      </c>
    </row>
    <row r="40" spans="1:10" ht="30" x14ac:dyDescent="0.25">
      <c r="A40" s="15" t="s">
        <v>462</v>
      </c>
      <c r="B40" s="113" t="s">
        <v>517</v>
      </c>
      <c r="C40" s="104" t="s">
        <v>1992</v>
      </c>
      <c r="D40" s="104" t="s">
        <v>2001</v>
      </c>
      <c r="E40" s="16">
        <v>483</v>
      </c>
      <c r="F40" s="305" t="s">
        <v>853</v>
      </c>
      <c r="G40" s="67">
        <v>2013</v>
      </c>
      <c r="I40" s="112" t="s">
        <v>2017</v>
      </c>
      <c r="J40" s="112" t="s">
        <v>2007</v>
      </c>
    </row>
    <row r="41" spans="1:10" ht="30" x14ac:dyDescent="0.25">
      <c r="A41" s="15" t="s">
        <v>462</v>
      </c>
      <c r="B41" s="113" t="s">
        <v>517</v>
      </c>
      <c r="C41" s="104" t="s">
        <v>1992</v>
      </c>
      <c r="D41" s="104" t="s">
        <v>2002</v>
      </c>
      <c r="E41" s="16">
        <v>78</v>
      </c>
      <c r="F41" s="305" t="s">
        <v>853</v>
      </c>
      <c r="G41" s="67" t="s">
        <v>1909</v>
      </c>
      <c r="I41" s="112" t="s">
        <v>2018</v>
      </c>
      <c r="J41" s="112" t="s">
        <v>2019</v>
      </c>
    </row>
    <row r="42" spans="1:10" ht="30" x14ac:dyDescent="0.25">
      <c r="A42" s="15" t="s">
        <v>462</v>
      </c>
      <c r="B42" s="113" t="s">
        <v>517</v>
      </c>
      <c r="C42" s="104" t="s">
        <v>1992</v>
      </c>
      <c r="D42" s="104" t="s">
        <v>2003</v>
      </c>
      <c r="E42" s="16">
        <v>388</v>
      </c>
      <c r="F42" s="305" t="s">
        <v>853</v>
      </c>
      <c r="G42" s="67" t="s">
        <v>1909</v>
      </c>
      <c r="I42" s="112" t="s">
        <v>2020</v>
      </c>
      <c r="J42" s="112" t="s">
        <v>2007</v>
      </c>
    </row>
    <row r="43" spans="1:10" s="108" customFormat="1" ht="45" x14ac:dyDescent="0.25">
      <c r="A43" s="15" t="s">
        <v>462</v>
      </c>
      <c r="B43" s="108" t="s">
        <v>517</v>
      </c>
      <c r="C43" s="108" t="s">
        <v>1992</v>
      </c>
      <c r="D43" s="108" t="s">
        <v>2022</v>
      </c>
      <c r="E43" s="309">
        <v>3168</v>
      </c>
      <c r="F43" s="308" t="s">
        <v>853</v>
      </c>
      <c r="G43" s="15">
        <v>1962</v>
      </c>
      <c r="I43" s="108" t="s">
        <v>293</v>
      </c>
      <c r="J43" s="108" t="s">
        <v>2047</v>
      </c>
    </row>
    <row r="44" spans="1:10" s="108" customFormat="1" ht="75" x14ac:dyDescent="0.25">
      <c r="A44" s="15" t="s">
        <v>462</v>
      </c>
      <c r="B44" s="113" t="s">
        <v>517</v>
      </c>
      <c r="C44" s="107" t="s">
        <v>2023</v>
      </c>
      <c r="D44" s="107" t="s">
        <v>2024</v>
      </c>
      <c r="E44" s="16">
        <v>15462</v>
      </c>
      <c r="F44" s="72">
        <f t="shared" ref="F44" si="2">E44/5280</f>
        <v>2.9284090909090907</v>
      </c>
      <c r="G44" s="67">
        <v>2013</v>
      </c>
      <c r="I44" s="107" t="s">
        <v>2034</v>
      </c>
      <c r="J44" s="122" t="s">
        <v>2035</v>
      </c>
    </row>
    <row r="45" spans="1:10" s="108" customFormat="1" ht="45" x14ac:dyDescent="0.25">
      <c r="A45" s="15" t="s">
        <v>462</v>
      </c>
      <c r="B45" s="113" t="s">
        <v>517</v>
      </c>
      <c r="C45" s="104" t="s">
        <v>2025</v>
      </c>
      <c r="D45" s="104" t="s">
        <v>2588</v>
      </c>
      <c r="E45" s="16">
        <v>137</v>
      </c>
      <c r="F45" s="308" t="s">
        <v>853</v>
      </c>
      <c r="G45" s="67" t="s">
        <v>1909</v>
      </c>
      <c r="I45" s="112" t="s">
        <v>2036</v>
      </c>
      <c r="J45" s="112" t="s">
        <v>2037</v>
      </c>
    </row>
    <row r="46" spans="1:10" s="108" customFormat="1" ht="60" x14ac:dyDescent="0.25">
      <c r="A46" s="15" t="s">
        <v>462</v>
      </c>
      <c r="B46" s="113" t="s">
        <v>517</v>
      </c>
      <c r="C46" s="104" t="s">
        <v>2025</v>
      </c>
      <c r="D46" s="104" t="s">
        <v>2026</v>
      </c>
      <c r="E46" s="16">
        <v>411</v>
      </c>
      <c r="F46" s="308" t="s">
        <v>853</v>
      </c>
      <c r="G46" s="67" t="s">
        <v>1909</v>
      </c>
      <c r="I46" s="112" t="s">
        <v>2038</v>
      </c>
      <c r="J46" s="112" t="s">
        <v>2037</v>
      </c>
    </row>
    <row r="47" spans="1:10" s="108" customFormat="1" ht="45" x14ac:dyDescent="0.25">
      <c r="A47" s="15" t="s">
        <v>462</v>
      </c>
      <c r="B47" s="113" t="s">
        <v>517</v>
      </c>
      <c r="C47" s="104" t="s">
        <v>2025</v>
      </c>
      <c r="D47" s="104" t="s">
        <v>2027</v>
      </c>
      <c r="E47" s="16">
        <v>262</v>
      </c>
      <c r="F47" s="308" t="s">
        <v>853</v>
      </c>
      <c r="G47" s="67" t="s">
        <v>1909</v>
      </c>
      <c r="I47" s="112" t="s">
        <v>2039</v>
      </c>
      <c r="J47" s="112" t="s">
        <v>2037</v>
      </c>
    </row>
    <row r="48" spans="1:10" s="108" customFormat="1" ht="75" x14ac:dyDescent="0.25">
      <c r="A48" s="15" t="s">
        <v>462</v>
      </c>
      <c r="B48" s="113" t="s">
        <v>517</v>
      </c>
      <c r="C48" s="104" t="s">
        <v>2025</v>
      </c>
      <c r="D48" s="104" t="s">
        <v>2028</v>
      </c>
      <c r="E48" s="16">
        <v>1068</v>
      </c>
      <c r="F48" s="308" t="s">
        <v>853</v>
      </c>
      <c r="G48" s="67" t="s">
        <v>1909</v>
      </c>
      <c r="I48" s="112" t="s">
        <v>2040</v>
      </c>
      <c r="J48" s="112" t="s">
        <v>2037</v>
      </c>
    </row>
    <row r="49" spans="1:10" s="108" customFormat="1" ht="45" x14ac:dyDescent="0.25">
      <c r="A49" s="15" t="s">
        <v>462</v>
      </c>
      <c r="B49" s="113" t="s">
        <v>517</v>
      </c>
      <c r="C49" s="104" t="s">
        <v>2025</v>
      </c>
      <c r="D49" s="104" t="s">
        <v>2029</v>
      </c>
      <c r="E49" s="16">
        <v>335</v>
      </c>
      <c r="F49" s="308" t="s">
        <v>853</v>
      </c>
      <c r="G49" s="105">
        <v>2014</v>
      </c>
      <c r="I49" s="112" t="s">
        <v>2041</v>
      </c>
      <c r="J49" s="112" t="s">
        <v>2042</v>
      </c>
    </row>
    <row r="50" spans="1:10" s="108" customFormat="1" ht="45" x14ac:dyDescent="0.25">
      <c r="A50" s="15" t="s">
        <v>462</v>
      </c>
      <c r="B50" s="113" t="s">
        <v>517</v>
      </c>
      <c r="C50" s="104" t="s">
        <v>2025</v>
      </c>
      <c r="D50" s="104" t="s">
        <v>2030</v>
      </c>
      <c r="E50" s="16">
        <v>324</v>
      </c>
      <c r="F50" s="308" t="s">
        <v>853</v>
      </c>
      <c r="G50" s="105">
        <v>2013</v>
      </c>
      <c r="I50" s="112" t="s">
        <v>2043</v>
      </c>
      <c r="J50" s="112" t="s">
        <v>2037</v>
      </c>
    </row>
    <row r="51" spans="1:10" s="108" customFormat="1" ht="45" x14ac:dyDescent="0.25">
      <c r="A51" s="15" t="s">
        <v>462</v>
      </c>
      <c r="B51" s="113" t="s">
        <v>517</v>
      </c>
      <c r="C51" s="104" t="s">
        <v>2025</v>
      </c>
      <c r="D51" s="104" t="s">
        <v>2031</v>
      </c>
      <c r="E51" s="16">
        <v>96</v>
      </c>
      <c r="F51" s="308" t="s">
        <v>853</v>
      </c>
      <c r="G51" s="67" t="s">
        <v>1909</v>
      </c>
      <c r="I51" s="112" t="s">
        <v>2044</v>
      </c>
      <c r="J51" s="112" t="s">
        <v>2037</v>
      </c>
    </row>
    <row r="52" spans="1:10" s="108" customFormat="1" ht="45" x14ac:dyDescent="0.25">
      <c r="A52" s="15" t="s">
        <v>462</v>
      </c>
      <c r="B52" s="113" t="s">
        <v>517</v>
      </c>
      <c r="C52" s="104" t="s">
        <v>2025</v>
      </c>
      <c r="D52" s="104" t="s">
        <v>2032</v>
      </c>
      <c r="E52" s="16">
        <v>113</v>
      </c>
      <c r="F52" s="308" t="s">
        <v>853</v>
      </c>
      <c r="G52" s="67" t="s">
        <v>1909</v>
      </c>
      <c r="I52" s="112" t="s">
        <v>2045</v>
      </c>
      <c r="J52" s="112" t="s">
        <v>2037</v>
      </c>
    </row>
    <row r="53" spans="1:10" s="108" customFormat="1" ht="45" x14ac:dyDescent="0.25">
      <c r="A53" s="15" t="s">
        <v>462</v>
      </c>
      <c r="B53" s="113" t="s">
        <v>517</v>
      </c>
      <c r="C53" s="104" t="s">
        <v>2025</v>
      </c>
      <c r="D53" s="104" t="s">
        <v>2033</v>
      </c>
      <c r="E53" s="16">
        <v>271</v>
      </c>
      <c r="F53" s="308" t="s">
        <v>853</v>
      </c>
      <c r="G53" s="67" t="s">
        <v>1909</v>
      </c>
      <c r="I53" s="112" t="s">
        <v>2046</v>
      </c>
      <c r="J53" s="112" t="s">
        <v>2037</v>
      </c>
    </row>
    <row r="54" spans="1:10" s="108" customFormat="1" ht="30" x14ac:dyDescent="0.25">
      <c r="A54" s="15" t="s">
        <v>462</v>
      </c>
      <c r="B54" s="113" t="s">
        <v>517</v>
      </c>
      <c r="C54" s="104" t="s">
        <v>2025</v>
      </c>
      <c r="D54" s="104" t="s">
        <v>2049</v>
      </c>
      <c r="E54" s="16">
        <v>304</v>
      </c>
      <c r="F54" s="311" t="s">
        <v>853</v>
      </c>
      <c r="G54" s="15">
        <v>2014</v>
      </c>
      <c r="I54" s="112" t="s">
        <v>2050</v>
      </c>
      <c r="J54" s="112" t="s">
        <v>2051</v>
      </c>
    </row>
    <row r="55" spans="1:10" s="108" customFormat="1" ht="60" x14ac:dyDescent="0.25">
      <c r="A55" s="15" t="s">
        <v>462</v>
      </c>
      <c r="B55" s="108" t="s">
        <v>517</v>
      </c>
      <c r="C55" s="108" t="s">
        <v>2025</v>
      </c>
      <c r="D55" s="108" t="s">
        <v>2053</v>
      </c>
      <c r="E55" s="309">
        <v>1888</v>
      </c>
      <c r="F55" s="308" t="s">
        <v>853</v>
      </c>
      <c r="G55" s="15" t="s">
        <v>158</v>
      </c>
      <c r="H55" s="15" t="s">
        <v>2055</v>
      </c>
      <c r="I55" s="108" t="s">
        <v>2057</v>
      </c>
      <c r="J55" s="108" t="s">
        <v>2056</v>
      </c>
    </row>
    <row r="56" spans="1:10" s="108" customFormat="1" ht="45" x14ac:dyDescent="0.25">
      <c r="A56" s="15" t="s">
        <v>462</v>
      </c>
      <c r="B56" s="108" t="s">
        <v>517</v>
      </c>
      <c r="C56" s="108" t="s">
        <v>2052</v>
      </c>
      <c r="D56" s="108" t="s">
        <v>2048</v>
      </c>
      <c r="E56" s="309">
        <v>6864</v>
      </c>
      <c r="F56" s="308">
        <f>(3456-764)/5280</f>
        <v>0.50984848484848488</v>
      </c>
      <c r="G56" s="15">
        <v>1962</v>
      </c>
      <c r="I56" s="108" t="s">
        <v>293</v>
      </c>
      <c r="J56" s="108" t="s">
        <v>2596</v>
      </c>
    </row>
    <row r="57" spans="1:10" s="108" customFormat="1" ht="60" x14ac:dyDescent="0.25">
      <c r="A57" s="15" t="s">
        <v>462</v>
      </c>
      <c r="B57" s="108" t="s">
        <v>517</v>
      </c>
      <c r="C57" s="108" t="s">
        <v>2052</v>
      </c>
      <c r="D57" s="108" t="s">
        <v>2054</v>
      </c>
      <c r="E57" s="309">
        <v>1050</v>
      </c>
      <c r="F57" s="308" t="s">
        <v>853</v>
      </c>
      <c r="G57" s="15" t="s">
        <v>158</v>
      </c>
      <c r="H57" s="15" t="s">
        <v>2055</v>
      </c>
      <c r="I57" s="108" t="s">
        <v>2057</v>
      </c>
      <c r="J57" s="108" t="s">
        <v>2056</v>
      </c>
    </row>
    <row r="58" spans="1:10" s="108" customFormat="1" ht="45" x14ac:dyDescent="0.25">
      <c r="A58" s="15" t="s">
        <v>462</v>
      </c>
      <c r="B58" s="113" t="s">
        <v>517</v>
      </c>
      <c r="C58" s="104" t="s">
        <v>2052</v>
      </c>
      <c r="D58" s="104" t="s">
        <v>2058</v>
      </c>
      <c r="E58" s="16">
        <v>82</v>
      </c>
      <c r="F58" s="308" t="s">
        <v>853</v>
      </c>
      <c r="G58" s="67" t="s">
        <v>1909</v>
      </c>
      <c r="H58" s="15"/>
      <c r="I58" s="112" t="s">
        <v>2080</v>
      </c>
      <c r="J58" s="112" t="s">
        <v>2037</v>
      </c>
    </row>
    <row r="59" spans="1:10" s="108" customFormat="1" ht="45" x14ac:dyDescent="0.25">
      <c r="A59" s="15" t="s">
        <v>462</v>
      </c>
      <c r="B59" s="113" t="s">
        <v>517</v>
      </c>
      <c r="C59" s="104" t="s">
        <v>2052</v>
      </c>
      <c r="D59" s="104" t="s">
        <v>2059</v>
      </c>
      <c r="E59" s="16">
        <v>263</v>
      </c>
      <c r="F59" s="308" t="s">
        <v>853</v>
      </c>
      <c r="G59" s="67" t="s">
        <v>1909</v>
      </c>
      <c r="H59" s="15"/>
      <c r="I59" s="112" t="s">
        <v>2081</v>
      </c>
      <c r="J59" s="112" t="s">
        <v>2082</v>
      </c>
    </row>
    <row r="60" spans="1:10" s="108" customFormat="1" ht="45" x14ac:dyDescent="0.25">
      <c r="A60" s="15" t="s">
        <v>462</v>
      </c>
      <c r="B60" s="113" t="s">
        <v>517</v>
      </c>
      <c r="C60" s="104" t="s">
        <v>2052</v>
      </c>
      <c r="D60" s="104" t="s">
        <v>2060</v>
      </c>
      <c r="E60" s="16">
        <v>165</v>
      </c>
      <c r="F60" s="308" t="s">
        <v>853</v>
      </c>
      <c r="G60" s="67" t="s">
        <v>1909</v>
      </c>
      <c r="H60" s="15"/>
      <c r="I60" s="112" t="s">
        <v>2083</v>
      </c>
      <c r="J60" s="112" t="s">
        <v>2082</v>
      </c>
    </row>
    <row r="61" spans="1:10" s="108" customFormat="1" ht="45" x14ac:dyDescent="0.25">
      <c r="A61" s="15" t="s">
        <v>462</v>
      </c>
      <c r="B61" s="113" t="s">
        <v>517</v>
      </c>
      <c r="C61" s="104" t="s">
        <v>2052</v>
      </c>
      <c r="D61" s="104" t="s">
        <v>2061</v>
      </c>
      <c r="E61" s="16">
        <v>170</v>
      </c>
      <c r="F61" s="308" t="s">
        <v>853</v>
      </c>
      <c r="G61" s="67" t="s">
        <v>1909</v>
      </c>
      <c r="H61" s="15"/>
      <c r="I61" s="112" t="s">
        <v>2084</v>
      </c>
      <c r="J61" s="112" t="s">
        <v>2085</v>
      </c>
    </row>
    <row r="62" spans="1:10" s="108" customFormat="1" ht="45" x14ac:dyDescent="0.25">
      <c r="A62" s="15" t="s">
        <v>462</v>
      </c>
      <c r="B62" s="113" t="s">
        <v>517</v>
      </c>
      <c r="C62" s="104" t="s">
        <v>2052</v>
      </c>
      <c r="D62" s="104" t="s">
        <v>2062</v>
      </c>
      <c r="E62" s="16">
        <v>180</v>
      </c>
      <c r="F62" s="308" t="s">
        <v>853</v>
      </c>
      <c r="G62" s="67">
        <v>2013</v>
      </c>
      <c r="H62" s="15"/>
      <c r="I62" s="112" t="s">
        <v>2086</v>
      </c>
      <c r="J62" s="112" t="s">
        <v>2037</v>
      </c>
    </row>
    <row r="63" spans="1:10" s="108" customFormat="1" ht="45" x14ac:dyDescent="0.25">
      <c r="A63" s="15" t="s">
        <v>462</v>
      </c>
      <c r="B63" s="113" t="s">
        <v>517</v>
      </c>
      <c r="C63" s="104" t="s">
        <v>2052</v>
      </c>
      <c r="D63" s="104" t="s">
        <v>2063</v>
      </c>
      <c r="E63" s="16">
        <v>110</v>
      </c>
      <c r="F63" s="308" t="s">
        <v>853</v>
      </c>
      <c r="G63" s="67">
        <v>2013</v>
      </c>
      <c r="H63" s="15"/>
      <c r="I63" s="112" t="s">
        <v>2087</v>
      </c>
      <c r="J63" s="112" t="s">
        <v>2088</v>
      </c>
    </row>
    <row r="64" spans="1:10" s="108" customFormat="1" ht="45" x14ac:dyDescent="0.25">
      <c r="A64" s="15" t="s">
        <v>462</v>
      </c>
      <c r="B64" s="113" t="s">
        <v>517</v>
      </c>
      <c r="C64" s="104" t="s">
        <v>2052</v>
      </c>
      <c r="D64" s="104" t="s">
        <v>2064</v>
      </c>
      <c r="E64" s="16">
        <v>459</v>
      </c>
      <c r="F64" s="308" t="s">
        <v>853</v>
      </c>
      <c r="G64" s="67" t="s">
        <v>1909</v>
      </c>
      <c r="H64" s="15"/>
      <c r="I64" s="112" t="s">
        <v>2089</v>
      </c>
      <c r="J64" s="112" t="s">
        <v>2090</v>
      </c>
    </row>
    <row r="65" spans="1:10" s="108" customFormat="1" ht="45" x14ac:dyDescent="0.25">
      <c r="A65" s="15" t="s">
        <v>462</v>
      </c>
      <c r="B65" s="113" t="s">
        <v>517</v>
      </c>
      <c r="C65" s="104" t="s">
        <v>2052</v>
      </c>
      <c r="D65" s="104" t="s">
        <v>2065</v>
      </c>
      <c r="E65" s="16">
        <v>448</v>
      </c>
      <c r="F65" s="72">
        <f t="shared" ref="F65:F79" si="3">E65/5280</f>
        <v>8.4848484848484854E-2</v>
      </c>
      <c r="G65" s="67" t="s">
        <v>2079</v>
      </c>
      <c r="H65" s="15"/>
      <c r="I65" s="112" t="s">
        <v>2091</v>
      </c>
      <c r="J65" s="112" t="s">
        <v>2088</v>
      </c>
    </row>
    <row r="66" spans="1:10" s="108" customFormat="1" ht="105" x14ac:dyDescent="0.25">
      <c r="A66" s="15" t="s">
        <v>462</v>
      </c>
      <c r="B66" s="113" t="s">
        <v>517</v>
      </c>
      <c r="C66" s="104" t="s">
        <v>2052</v>
      </c>
      <c r="D66" s="104" t="s">
        <v>2066</v>
      </c>
      <c r="E66" s="16">
        <v>1180</v>
      </c>
      <c r="F66" s="72">
        <f t="shared" si="3"/>
        <v>0.22348484848484848</v>
      </c>
      <c r="G66" s="67" t="s">
        <v>1909</v>
      </c>
      <c r="H66" s="15"/>
      <c r="I66" s="112" t="s">
        <v>2092</v>
      </c>
      <c r="J66" s="112" t="s">
        <v>2093</v>
      </c>
    </row>
    <row r="67" spans="1:10" s="108" customFormat="1" ht="45" x14ac:dyDescent="0.25">
      <c r="A67" s="15" t="s">
        <v>462</v>
      </c>
      <c r="B67" s="113" t="s">
        <v>517</v>
      </c>
      <c r="C67" s="104" t="s">
        <v>2067</v>
      </c>
      <c r="D67" s="104" t="s">
        <v>2068</v>
      </c>
      <c r="E67" s="16">
        <v>1045</v>
      </c>
      <c r="F67" s="72">
        <f t="shared" si="3"/>
        <v>0.19791666666666666</v>
      </c>
      <c r="G67" s="67" t="s">
        <v>1909</v>
      </c>
      <c r="H67" s="15"/>
      <c r="I67" s="112" t="s">
        <v>2094</v>
      </c>
      <c r="J67" s="112" t="s">
        <v>2088</v>
      </c>
    </row>
    <row r="68" spans="1:10" s="108" customFormat="1" ht="60" x14ac:dyDescent="0.25">
      <c r="A68" s="15" t="s">
        <v>462</v>
      </c>
      <c r="B68" s="113" t="s">
        <v>517</v>
      </c>
      <c r="C68" s="104" t="s">
        <v>2067</v>
      </c>
      <c r="D68" s="104" t="s">
        <v>2069</v>
      </c>
      <c r="E68" s="16">
        <v>1180</v>
      </c>
      <c r="F68" s="72">
        <f t="shared" si="3"/>
        <v>0.22348484848484848</v>
      </c>
      <c r="G68" s="67" t="s">
        <v>1909</v>
      </c>
      <c r="H68" s="15"/>
      <c r="I68" s="107" t="s">
        <v>2095</v>
      </c>
      <c r="J68" s="112" t="s">
        <v>2096</v>
      </c>
    </row>
    <row r="69" spans="1:10" s="108" customFormat="1" ht="30" x14ac:dyDescent="0.25">
      <c r="A69" s="15" t="s">
        <v>462</v>
      </c>
      <c r="B69" s="113" t="s">
        <v>517</v>
      </c>
      <c r="C69" s="107" t="s">
        <v>2067</v>
      </c>
      <c r="D69" s="107" t="s">
        <v>2070</v>
      </c>
      <c r="E69" s="16">
        <v>241</v>
      </c>
      <c r="F69" s="72">
        <f t="shared" si="3"/>
        <v>4.5643939393939396E-2</v>
      </c>
      <c r="G69" s="67">
        <v>2013</v>
      </c>
      <c r="H69" s="15"/>
      <c r="I69" s="107" t="s">
        <v>2097</v>
      </c>
      <c r="J69" s="112" t="s">
        <v>2088</v>
      </c>
    </row>
    <row r="70" spans="1:10" s="108" customFormat="1" ht="75" x14ac:dyDescent="0.25">
      <c r="A70" s="15" t="s">
        <v>462</v>
      </c>
      <c r="B70" s="113" t="s">
        <v>517</v>
      </c>
      <c r="C70" s="107" t="s">
        <v>2067</v>
      </c>
      <c r="D70" s="107" t="s">
        <v>2071</v>
      </c>
      <c r="E70" s="16">
        <v>901</v>
      </c>
      <c r="F70" s="72">
        <f t="shared" si="3"/>
        <v>0.1706439393939394</v>
      </c>
      <c r="G70" s="67" t="s">
        <v>1909</v>
      </c>
      <c r="H70" s="15"/>
      <c r="I70" s="107" t="s">
        <v>2098</v>
      </c>
      <c r="J70" s="112" t="s">
        <v>2099</v>
      </c>
    </row>
    <row r="71" spans="1:10" s="108" customFormat="1" ht="60" x14ac:dyDescent="0.25">
      <c r="A71" s="15" t="s">
        <v>462</v>
      </c>
      <c r="B71" s="113" t="s">
        <v>517</v>
      </c>
      <c r="C71" s="107" t="s">
        <v>2067</v>
      </c>
      <c r="D71" s="107" t="s">
        <v>2072</v>
      </c>
      <c r="E71" s="16">
        <v>950</v>
      </c>
      <c r="F71" s="72">
        <f t="shared" si="3"/>
        <v>0.17992424242424243</v>
      </c>
      <c r="G71" s="67" t="s">
        <v>1909</v>
      </c>
      <c r="H71" s="15"/>
      <c r="I71" s="107" t="s">
        <v>2100</v>
      </c>
      <c r="J71" s="112" t="s">
        <v>2096</v>
      </c>
    </row>
    <row r="72" spans="1:10" s="108" customFormat="1" ht="90" x14ac:dyDescent="0.25">
      <c r="A72" s="15" t="s">
        <v>462</v>
      </c>
      <c r="B72" s="113" t="s">
        <v>517</v>
      </c>
      <c r="C72" s="107" t="s">
        <v>2067</v>
      </c>
      <c r="D72" s="107" t="s">
        <v>2073</v>
      </c>
      <c r="E72" s="16">
        <v>1650</v>
      </c>
      <c r="F72" s="72">
        <f t="shared" si="3"/>
        <v>0.3125</v>
      </c>
      <c r="G72" s="67">
        <v>2013</v>
      </c>
      <c r="I72" s="107" t="s">
        <v>2101</v>
      </c>
      <c r="J72" s="107" t="s">
        <v>2102</v>
      </c>
    </row>
    <row r="73" spans="1:10" s="108" customFormat="1" ht="30" x14ac:dyDescent="0.25">
      <c r="A73" s="15" t="s">
        <v>462</v>
      </c>
      <c r="B73" s="113" t="s">
        <v>517</v>
      </c>
      <c r="C73" s="107" t="s">
        <v>2067</v>
      </c>
      <c r="D73" s="107" t="s">
        <v>2074</v>
      </c>
      <c r="E73" s="16">
        <v>380</v>
      </c>
      <c r="F73" s="72">
        <f t="shared" si="3"/>
        <v>7.1969696969696975E-2</v>
      </c>
      <c r="G73" s="67" t="s">
        <v>1909</v>
      </c>
      <c r="I73" s="107" t="s">
        <v>2103</v>
      </c>
      <c r="J73" s="112" t="s">
        <v>1950</v>
      </c>
    </row>
    <row r="74" spans="1:10" s="108" customFormat="1" ht="60" x14ac:dyDescent="0.25">
      <c r="A74" s="15" t="s">
        <v>462</v>
      </c>
      <c r="B74" s="113" t="s">
        <v>517</v>
      </c>
      <c r="C74" s="107" t="s">
        <v>2067</v>
      </c>
      <c r="D74" s="107" t="s">
        <v>2075</v>
      </c>
      <c r="E74" s="16">
        <v>375</v>
      </c>
      <c r="F74" s="72">
        <f t="shared" si="3"/>
        <v>7.1022727272727279E-2</v>
      </c>
      <c r="G74" s="67">
        <v>2015</v>
      </c>
      <c r="I74" s="107" t="s">
        <v>2104</v>
      </c>
      <c r="J74" s="107" t="s">
        <v>2105</v>
      </c>
    </row>
    <row r="75" spans="1:10" s="108" customFormat="1" ht="45" x14ac:dyDescent="0.25">
      <c r="A75" s="15" t="s">
        <v>462</v>
      </c>
      <c r="B75" s="113" t="s">
        <v>517</v>
      </c>
      <c r="C75" s="107" t="s">
        <v>2067</v>
      </c>
      <c r="D75" s="107" t="s">
        <v>2076</v>
      </c>
      <c r="E75" s="16">
        <v>325</v>
      </c>
      <c r="F75" s="72">
        <f t="shared" si="3"/>
        <v>6.1553030303030304E-2</v>
      </c>
      <c r="G75" s="67" t="s">
        <v>1909</v>
      </c>
      <c r="I75" s="107" t="s">
        <v>2106</v>
      </c>
      <c r="J75" s="112" t="s">
        <v>2107</v>
      </c>
    </row>
    <row r="76" spans="1:10" s="108" customFormat="1" ht="30" x14ac:dyDescent="0.25">
      <c r="A76" s="15" t="s">
        <v>462</v>
      </c>
      <c r="B76" s="113" t="s">
        <v>517</v>
      </c>
      <c r="C76" s="107" t="s">
        <v>2067</v>
      </c>
      <c r="D76" s="107" t="s">
        <v>2077</v>
      </c>
      <c r="E76" s="16">
        <v>402</v>
      </c>
      <c r="F76" s="72">
        <f t="shared" si="3"/>
        <v>7.6136363636363641E-2</v>
      </c>
      <c r="G76" s="67" t="s">
        <v>1909</v>
      </c>
      <c r="I76" s="107" t="s">
        <v>2108</v>
      </c>
      <c r="J76" s="112" t="s">
        <v>1950</v>
      </c>
    </row>
    <row r="77" spans="1:10" s="108" customFormat="1" ht="45" x14ac:dyDescent="0.25">
      <c r="A77" s="15" t="s">
        <v>462</v>
      </c>
      <c r="B77" s="113" t="s">
        <v>517</v>
      </c>
      <c r="C77" s="107" t="s">
        <v>2067</v>
      </c>
      <c r="D77" s="107" t="s">
        <v>2078</v>
      </c>
      <c r="E77" s="16">
        <v>612</v>
      </c>
      <c r="F77" s="72">
        <f t="shared" si="3"/>
        <v>0.11590909090909091</v>
      </c>
      <c r="G77" s="67" t="s">
        <v>1909</v>
      </c>
      <c r="I77" s="107" t="s">
        <v>2109</v>
      </c>
      <c r="J77" s="112" t="s">
        <v>2107</v>
      </c>
    </row>
    <row r="78" spans="1:10" s="117" customFormat="1" ht="75" x14ac:dyDescent="0.25">
      <c r="A78" s="117" t="s">
        <v>462</v>
      </c>
      <c r="B78" s="77" t="s">
        <v>517</v>
      </c>
      <c r="C78" s="77" t="s">
        <v>2067</v>
      </c>
      <c r="D78" s="77" t="s">
        <v>2592</v>
      </c>
      <c r="E78" s="180">
        <v>5280</v>
      </c>
      <c r="F78" s="132">
        <f>E78/5280</f>
        <v>1</v>
      </c>
      <c r="G78" s="117">
        <v>1962</v>
      </c>
      <c r="I78" s="77" t="s">
        <v>293</v>
      </c>
      <c r="J78" s="82" t="s">
        <v>2593</v>
      </c>
    </row>
    <row r="79" spans="1:10" s="108" customFormat="1" ht="30" x14ac:dyDescent="0.25">
      <c r="A79" s="15" t="s">
        <v>462</v>
      </c>
      <c r="B79" s="113" t="s">
        <v>517</v>
      </c>
      <c r="C79" s="107" t="s">
        <v>2067</v>
      </c>
      <c r="D79" s="107" t="s">
        <v>2110</v>
      </c>
      <c r="E79" s="16">
        <v>500</v>
      </c>
      <c r="F79" s="72">
        <f t="shared" si="3"/>
        <v>9.4696969696969696E-2</v>
      </c>
      <c r="G79" s="105">
        <v>2013</v>
      </c>
      <c r="I79" s="107" t="s">
        <v>2111</v>
      </c>
      <c r="J79" s="112" t="s">
        <v>1950</v>
      </c>
    </row>
    <row r="80" spans="1:10" s="15" customFormat="1" ht="75" x14ac:dyDescent="0.25">
      <c r="A80" s="15" t="s">
        <v>462</v>
      </c>
      <c r="B80" s="108" t="s">
        <v>517</v>
      </c>
      <c r="C80" s="108" t="s">
        <v>2067</v>
      </c>
      <c r="D80" s="108" t="s">
        <v>2589</v>
      </c>
      <c r="E80" s="309">
        <v>1435</v>
      </c>
      <c r="F80" s="132">
        <f>E80/5280</f>
        <v>0.27178030303030304</v>
      </c>
      <c r="G80" s="15">
        <v>1995</v>
      </c>
      <c r="H80" s="109">
        <v>1996</v>
      </c>
      <c r="I80" s="108" t="s">
        <v>380</v>
      </c>
      <c r="J80" s="322" t="s">
        <v>2112</v>
      </c>
    </row>
    <row r="81" spans="1:10" s="15" customFormat="1" ht="45" x14ac:dyDescent="0.25">
      <c r="A81" s="15" t="s">
        <v>462</v>
      </c>
      <c r="B81" s="108" t="s">
        <v>517</v>
      </c>
      <c r="C81" s="108" t="s">
        <v>2067</v>
      </c>
      <c r="D81" s="108" t="s">
        <v>2113</v>
      </c>
      <c r="E81" s="309">
        <v>2215</v>
      </c>
      <c r="F81" s="132">
        <f>E81/5280</f>
        <v>0.41950757575757575</v>
      </c>
      <c r="G81" s="15" t="s">
        <v>158</v>
      </c>
      <c r="H81" s="15">
        <v>2015</v>
      </c>
      <c r="I81" s="108" t="s">
        <v>2115</v>
      </c>
      <c r="J81" s="322" t="s">
        <v>2114</v>
      </c>
    </row>
    <row r="82" spans="1:10" s="15" customFormat="1" ht="90" x14ac:dyDescent="0.25">
      <c r="A82" s="15" t="s">
        <v>462</v>
      </c>
      <c r="B82" s="108" t="s">
        <v>517</v>
      </c>
      <c r="C82" s="108" t="s">
        <v>2116</v>
      </c>
      <c r="D82" s="82" t="s">
        <v>2590</v>
      </c>
      <c r="E82" s="310">
        <v>3000</v>
      </c>
      <c r="F82" s="318">
        <f t="shared" ref="F82" si="4">E82/5280</f>
        <v>0.56818181818181823</v>
      </c>
      <c r="G82" s="109">
        <v>1997</v>
      </c>
      <c r="H82" s="109">
        <v>1998</v>
      </c>
      <c r="I82" s="108" t="s">
        <v>380</v>
      </c>
      <c r="J82" s="322" t="s">
        <v>2591</v>
      </c>
    </row>
    <row r="83" spans="1:10" s="108" customFormat="1" ht="60" x14ac:dyDescent="0.25">
      <c r="A83" s="15" t="s">
        <v>462</v>
      </c>
      <c r="B83" s="113" t="s">
        <v>517</v>
      </c>
      <c r="C83" s="107" t="s">
        <v>1746</v>
      </c>
      <c r="D83" s="57" t="s">
        <v>2117</v>
      </c>
      <c r="E83" s="16">
        <v>4000</v>
      </c>
      <c r="F83" s="311" t="s">
        <v>853</v>
      </c>
      <c r="G83" s="15">
        <v>2005</v>
      </c>
      <c r="H83" s="15" t="s">
        <v>2119</v>
      </c>
      <c r="I83" s="108" t="s">
        <v>381</v>
      </c>
      <c r="J83" s="322" t="s">
        <v>2122</v>
      </c>
    </row>
    <row r="84" spans="1:10" s="15" customFormat="1" ht="45" x14ac:dyDescent="0.25">
      <c r="A84" s="15" t="s">
        <v>462</v>
      </c>
      <c r="B84" s="108" t="s">
        <v>517</v>
      </c>
      <c r="C84" s="108" t="s">
        <v>1746</v>
      </c>
      <c r="D84" s="108" t="s">
        <v>2118</v>
      </c>
      <c r="E84" s="309">
        <v>4950</v>
      </c>
      <c r="F84" s="277">
        <f>E84/5280</f>
        <v>0.9375</v>
      </c>
      <c r="G84" s="93" t="s">
        <v>2120</v>
      </c>
      <c r="H84" s="15" t="s">
        <v>2123</v>
      </c>
      <c r="I84" s="107" t="s">
        <v>2124</v>
      </c>
      <c r="J84" s="107" t="s">
        <v>2121</v>
      </c>
    </row>
    <row r="85" spans="1:10" s="15" customFormat="1" ht="90" x14ac:dyDescent="0.25">
      <c r="A85" s="15" t="s">
        <v>462</v>
      </c>
      <c r="B85" s="108" t="s">
        <v>517</v>
      </c>
      <c r="C85" s="108" t="s">
        <v>1746</v>
      </c>
      <c r="D85" s="108" t="s">
        <v>2125</v>
      </c>
      <c r="E85" s="309">
        <v>3500</v>
      </c>
      <c r="F85" s="277">
        <f>E85/5280</f>
        <v>0.66287878787878785</v>
      </c>
      <c r="G85" s="15">
        <v>1993</v>
      </c>
      <c r="H85" s="15" t="s">
        <v>537</v>
      </c>
      <c r="I85" s="108" t="s">
        <v>2127</v>
      </c>
      <c r="J85" s="108" t="s">
        <v>2126</v>
      </c>
    </row>
    <row r="86" spans="1:10" s="15" customFormat="1" ht="30" x14ac:dyDescent="0.25">
      <c r="A86" s="15" t="s">
        <v>462</v>
      </c>
      <c r="B86" s="104" t="s">
        <v>517</v>
      </c>
      <c r="C86" s="107" t="s">
        <v>1746</v>
      </c>
      <c r="D86" s="107" t="s">
        <v>2128</v>
      </c>
      <c r="E86" s="16">
        <v>89</v>
      </c>
      <c r="F86" s="299">
        <f t="shared" ref="F86:F104" si="5">E86/5280</f>
        <v>1.6856060606060607E-2</v>
      </c>
      <c r="G86" s="67">
        <v>2013</v>
      </c>
      <c r="I86" s="107" t="s">
        <v>2144</v>
      </c>
      <c r="J86" s="112" t="s">
        <v>1950</v>
      </c>
    </row>
    <row r="87" spans="1:10" s="15" customFormat="1" ht="30" x14ac:dyDescent="0.25">
      <c r="A87" s="15" t="s">
        <v>462</v>
      </c>
      <c r="B87" s="104" t="s">
        <v>517</v>
      </c>
      <c r="C87" s="107" t="s">
        <v>2129</v>
      </c>
      <c r="D87" s="107" t="s">
        <v>2130</v>
      </c>
      <c r="E87" s="16">
        <v>221</v>
      </c>
      <c r="F87" s="72">
        <f t="shared" si="5"/>
        <v>4.1856060606060605E-2</v>
      </c>
      <c r="G87" s="67">
        <v>2013</v>
      </c>
      <c r="I87" s="107" t="s">
        <v>2145</v>
      </c>
      <c r="J87" s="112" t="s">
        <v>1950</v>
      </c>
    </row>
    <row r="88" spans="1:10" s="15" customFormat="1" ht="30" x14ac:dyDescent="0.25">
      <c r="A88" s="15" t="s">
        <v>462</v>
      </c>
      <c r="B88" s="104" t="s">
        <v>517</v>
      </c>
      <c r="C88" s="107" t="s">
        <v>2129</v>
      </c>
      <c r="D88" s="107" t="s">
        <v>2131</v>
      </c>
      <c r="E88" s="16">
        <v>104</v>
      </c>
      <c r="F88" s="72">
        <f t="shared" si="5"/>
        <v>1.9696969696969695E-2</v>
      </c>
      <c r="G88" s="67">
        <v>2013</v>
      </c>
      <c r="I88" s="107" t="s">
        <v>2146</v>
      </c>
      <c r="J88" s="112" t="s">
        <v>1950</v>
      </c>
    </row>
    <row r="89" spans="1:10" s="15" customFormat="1" ht="60" x14ac:dyDescent="0.25">
      <c r="A89" s="15" t="s">
        <v>462</v>
      </c>
      <c r="B89" s="104" t="s">
        <v>517</v>
      </c>
      <c r="C89" s="107" t="s">
        <v>2129</v>
      </c>
      <c r="D89" s="107" t="s">
        <v>2132</v>
      </c>
      <c r="E89" s="16">
        <v>182</v>
      </c>
      <c r="F89" s="72">
        <f t="shared" si="5"/>
        <v>3.446969696969697E-2</v>
      </c>
      <c r="G89" s="67">
        <v>2013</v>
      </c>
      <c r="I89" s="107" t="s">
        <v>2147</v>
      </c>
      <c r="J89" s="112" t="s">
        <v>2148</v>
      </c>
    </row>
    <row r="90" spans="1:10" s="15" customFormat="1" ht="45" x14ac:dyDescent="0.25">
      <c r="A90" s="15" t="s">
        <v>462</v>
      </c>
      <c r="B90" s="104" t="s">
        <v>517</v>
      </c>
      <c r="C90" s="107" t="s">
        <v>2129</v>
      </c>
      <c r="D90" s="107" t="s">
        <v>2133</v>
      </c>
      <c r="E90" s="16">
        <v>305</v>
      </c>
      <c r="F90" s="72">
        <f t="shared" si="5"/>
        <v>5.7765151515151512E-2</v>
      </c>
      <c r="G90" s="67" t="s">
        <v>1909</v>
      </c>
      <c r="I90" s="107" t="s">
        <v>2149</v>
      </c>
      <c r="J90" s="112" t="s">
        <v>2150</v>
      </c>
    </row>
    <row r="91" spans="1:10" s="15" customFormat="1" ht="90" x14ac:dyDescent="0.25">
      <c r="A91" s="15" t="s">
        <v>462</v>
      </c>
      <c r="B91" s="104" t="s">
        <v>517</v>
      </c>
      <c r="C91" s="107" t="s">
        <v>2129</v>
      </c>
      <c r="D91" s="107" t="s">
        <v>2134</v>
      </c>
      <c r="E91" s="16">
        <v>910</v>
      </c>
      <c r="F91" s="72">
        <f t="shared" si="5"/>
        <v>0.17234848484848486</v>
      </c>
      <c r="G91" s="67" t="s">
        <v>1909</v>
      </c>
      <c r="I91" s="107" t="s">
        <v>2151</v>
      </c>
      <c r="J91" s="112" t="s">
        <v>2152</v>
      </c>
    </row>
    <row r="92" spans="1:10" s="15" customFormat="1" ht="45" x14ac:dyDescent="0.25">
      <c r="A92" s="15" t="s">
        <v>462</v>
      </c>
      <c r="B92" s="104" t="s">
        <v>517</v>
      </c>
      <c r="C92" s="107" t="s">
        <v>2129</v>
      </c>
      <c r="D92" s="107" t="s">
        <v>2135</v>
      </c>
      <c r="E92" s="16">
        <v>203</v>
      </c>
      <c r="F92" s="72">
        <f t="shared" si="5"/>
        <v>3.8446969696969695E-2</v>
      </c>
      <c r="G92" s="67" t="s">
        <v>1909</v>
      </c>
      <c r="I92" s="107" t="s">
        <v>2153</v>
      </c>
      <c r="J92" s="112" t="s">
        <v>2148</v>
      </c>
    </row>
    <row r="93" spans="1:10" s="15" customFormat="1" ht="30" x14ac:dyDescent="0.25">
      <c r="A93" s="15" t="s">
        <v>462</v>
      </c>
      <c r="B93" s="104" t="s">
        <v>517</v>
      </c>
      <c r="C93" s="107" t="s">
        <v>2129</v>
      </c>
      <c r="D93" s="107" t="s">
        <v>2136</v>
      </c>
      <c r="E93" s="16">
        <v>210</v>
      </c>
      <c r="F93" s="72">
        <f t="shared" si="5"/>
        <v>3.9772727272727272E-2</v>
      </c>
      <c r="G93" s="67">
        <v>2013</v>
      </c>
      <c r="I93" s="107" t="s">
        <v>2154</v>
      </c>
      <c r="J93" s="112" t="s">
        <v>1950</v>
      </c>
    </row>
    <row r="94" spans="1:10" s="235" customFormat="1" ht="60" x14ac:dyDescent="0.25">
      <c r="A94" s="235" t="s">
        <v>462</v>
      </c>
      <c r="B94" s="142" t="s">
        <v>517</v>
      </c>
      <c r="C94" s="144" t="s">
        <v>382</v>
      </c>
      <c r="D94" s="144" t="s">
        <v>2137</v>
      </c>
      <c r="E94" s="139">
        <v>14325</v>
      </c>
      <c r="F94" s="140">
        <f>7435/5280</f>
        <v>1.4081439393939394</v>
      </c>
      <c r="G94" s="281" t="s">
        <v>154</v>
      </c>
      <c r="I94" s="144" t="s">
        <v>2155</v>
      </c>
      <c r="J94" s="253" t="s">
        <v>2165</v>
      </c>
    </row>
    <row r="95" spans="1:10" s="15" customFormat="1" ht="45" x14ac:dyDescent="0.25">
      <c r="A95" s="15" t="s">
        <v>462</v>
      </c>
      <c r="B95" s="104" t="s">
        <v>517</v>
      </c>
      <c r="C95" s="107" t="s">
        <v>382</v>
      </c>
      <c r="D95" s="107" t="s">
        <v>2138</v>
      </c>
      <c r="E95" s="16">
        <v>365</v>
      </c>
      <c r="F95" s="72">
        <f t="shared" si="5"/>
        <v>6.9128787878787873E-2</v>
      </c>
      <c r="G95" s="105">
        <v>2013</v>
      </c>
      <c r="I95" s="107" t="s">
        <v>2156</v>
      </c>
      <c r="J95" s="112" t="s">
        <v>2150</v>
      </c>
    </row>
    <row r="96" spans="1:10" s="15" customFormat="1" ht="30" x14ac:dyDescent="0.25">
      <c r="A96" s="15" t="s">
        <v>462</v>
      </c>
      <c r="B96" s="60" t="s">
        <v>517</v>
      </c>
      <c r="C96" s="83" t="s">
        <v>382</v>
      </c>
      <c r="D96" s="83" t="s">
        <v>2139</v>
      </c>
      <c r="E96" s="249">
        <v>115</v>
      </c>
      <c r="F96" s="72">
        <f t="shared" si="5"/>
        <v>2.1780303030303032E-2</v>
      </c>
      <c r="G96" s="62">
        <v>2013</v>
      </c>
      <c r="I96" s="83" t="s">
        <v>2157</v>
      </c>
      <c r="J96" s="112" t="s">
        <v>2158</v>
      </c>
    </row>
    <row r="97" spans="1:10" s="15" customFormat="1" ht="45" x14ac:dyDescent="0.25">
      <c r="A97" s="15" t="s">
        <v>462</v>
      </c>
      <c r="B97" s="104" t="s">
        <v>517</v>
      </c>
      <c r="C97" s="107" t="s">
        <v>382</v>
      </c>
      <c r="D97" s="107" t="s">
        <v>2140</v>
      </c>
      <c r="E97" s="16">
        <v>356</v>
      </c>
      <c r="F97" s="72">
        <f t="shared" si="5"/>
        <v>6.7424242424242428E-2</v>
      </c>
      <c r="G97" s="105">
        <v>2013</v>
      </c>
      <c r="I97" s="107" t="s">
        <v>2159</v>
      </c>
      <c r="J97" s="112" t="s">
        <v>1950</v>
      </c>
    </row>
    <row r="98" spans="1:10" s="15" customFormat="1" ht="90" x14ac:dyDescent="0.25">
      <c r="A98" s="15" t="s">
        <v>462</v>
      </c>
      <c r="B98" s="104" t="s">
        <v>517</v>
      </c>
      <c r="C98" s="107" t="s">
        <v>382</v>
      </c>
      <c r="D98" s="107" t="s">
        <v>2141</v>
      </c>
      <c r="E98" s="16">
        <v>481</v>
      </c>
      <c r="F98" s="72">
        <f t="shared" si="5"/>
        <v>9.1098484848484845E-2</v>
      </c>
      <c r="G98" s="105" t="s">
        <v>1909</v>
      </c>
      <c r="I98" s="107" t="s">
        <v>2160</v>
      </c>
      <c r="J98" s="112" t="s">
        <v>2161</v>
      </c>
    </row>
    <row r="99" spans="1:10" s="15" customFormat="1" ht="45" x14ac:dyDescent="0.25">
      <c r="A99" s="15" t="s">
        <v>462</v>
      </c>
      <c r="B99" s="12" t="s">
        <v>517</v>
      </c>
      <c r="C99" s="112" t="s">
        <v>382</v>
      </c>
      <c r="D99" s="112" t="s">
        <v>2142</v>
      </c>
      <c r="E99" s="291">
        <v>320</v>
      </c>
      <c r="F99" s="121">
        <f t="shared" si="5"/>
        <v>6.0606060606060608E-2</v>
      </c>
      <c r="G99" s="67">
        <v>2010</v>
      </c>
      <c r="I99" s="112" t="s">
        <v>2167</v>
      </c>
      <c r="J99" s="112" t="s">
        <v>2166</v>
      </c>
    </row>
    <row r="100" spans="1:10" s="15" customFormat="1" ht="60" x14ac:dyDescent="0.25">
      <c r="A100" s="15" t="s">
        <v>462</v>
      </c>
      <c r="B100" s="12" t="s">
        <v>517</v>
      </c>
      <c r="C100" s="112" t="s">
        <v>382</v>
      </c>
      <c r="D100" s="112" t="s">
        <v>2168</v>
      </c>
      <c r="E100" s="319">
        <v>3360</v>
      </c>
      <c r="F100" s="241" t="s">
        <v>853</v>
      </c>
      <c r="G100" s="67">
        <v>2007</v>
      </c>
      <c r="H100" s="15" t="s">
        <v>2169</v>
      </c>
      <c r="I100" s="107" t="s">
        <v>2162</v>
      </c>
      <c r="J100" s="107" t="s">
        <v>2173</v>
      </c>
    </row>
    <row r="101" spans="1:10" ht="75" x14ac:dyDescent="0.25">
      <c r="A101" s="15" t="s">
        <v>462</v>
      </c>
      <c r="B101" s="104" t="s">
        <v>517</v>
      </c>
      <c r="C101" s="107" t="s">
        <v>382</v>
      </c>
      <c r="D101" s="107" t="s">
        <v>2143</v>
      </c>
      <c r="E101" s="16">
        <v>626</v>
      </c>
      <c r="F101" s="72">
        <f t="shared" si="5"/>
        <v>0.11856060606060606</v>
      </c>
      <c r="G101" s="105" t="s">
        <v>1909</v>
      </c>
      <c r="I101" s="107" t="s">
        <v>2163</v>
      </c>
      <c r="J101" s="112" t="s">
        <v>2164</v>
      </c>
    </row>
    <row r="102" spans="1:10" ht="30" x14ac:dyDescent="0.25">
      <c r="A102" s="15" t="s">
        <v>462</v>
      </c>
      <c r="B102" s="104" t="s">
        <v>517</v>
      </c>
      <c r="C102" s="107" t="s">
        <v>382</v>
      </c>
      <c r="D102" s="107" t="s">
        <v>2170</v>
      </c>
      <c r="E102" s="16">
        <v>192</v>
      </c>
      <c r="F102" s="299">
        <f t="shared" si="5"/>
        <v>3.6363636363636362E-2</v>
      </c>
      <c r="G102" s="105">
        <v>2013</v>
      </c>
      <c r="I102" s="107" t="s">
        <v>2174</v>
      </c>
      <c r="J102" s="112" t="s">
        <v>1950</v>
      </c>
    </row>
    <row r="103" spans="1:10" ht="60" x14ac:dyDescent="0.25">
      <c r="A103" s="15" t="s">
        <v>462</v>
      </c>
      <c r="B103" s="104" t="s">
        <v>517</v>
      </c>
      <c r="C103" s="107" t="s">
        <v>382</v>
      </c>
      <c r="D103" s="107" t="s">
        <v>2171</v>
      </c>
      <c r="E103" s="16">
        <v>510</v>
      </c>
      <c r="F103" s="299">
        <f t="shared" si="5"/>
        <v>9.6590909090909088E-2</v>
      </c>
      <c r="G103" s="105">
        <v>2013</v>
      </c>
      <c r="I103" s="107" t="s">
        <v>2175</v>
      </c>
      <c r="J103" s="112" t="s">
        <v>2176</v>
      </c>
    </row>
    <row r="104" spans="1:10" ht="30" x14ac:dyDescent="0.25">
      <c r="A104" s="15" t="s">
        <v>462</v>
      </c>
      <c r="B104" s="60" t="s">
        <v>517</v>
      </c>
      <c r="C104" s="83" t="s">
        <v>382</v>
      </c>
      <c r="D104" s="83" t="s">
        <v>2172</v>
      </c>
      <c r="E104" s="249">
        <v>565</v>
      </c>
      <c r="F104" s="299">
        <f t="shared" si="5"/>
        <v>0.10700757575757576</v>
      </c>
      <c r="G104" s="62">
        <v>2013</v>
      </c>
      <c r="I104" s="83" t="s">
        <v>2177</v>
      </c>
      <c r="J104" s="107" t="s">
        <v>2178</v>
      </c>
    </row>
    <row r="105" spans="1:10" s="15" customFormat="1" ht="60" x14ac:dyDescent="0.25">
      <c r="A105" s="15" t="s">
        <v>462</v>
      </c>
      <c r="B105" s="108" t="s">
        <v>517</v>
      </c>
      <c r="C105" s="108" t="s">
        <v>2191</v>
      </c>
      <c r="D105" s="108" t="s">
        <v>2190</v>
      </c>
      <c r="E105" s="178" t="s">
        <v>249</v>
      </c>
      <c r="F105" s="277" t="s">
        <v>249</v>
      </c>
      <c r="G105" s="15">
        <v>1938</v>
      </c>
      <c r="H105" s="15" t="s">
        <v>2192</v>
      </c>
      <c r="I105" s="108" t="s">
        <v>379</v>
      </c>
      <c r="J105" s="108" t="s">
        <v>2193</v>
      </c>
    </row>
    <row r="106" spans="1:10" s="15" customFormat="1" ht="75" x14ac:dyDescent="0.25">
      <c r="A106" s="15" t="s">
        <v>462</v>
      </c>
      <c r="B106" s="108" t="s">
        <v>517</v>
      </c>
      <c r="C106" s="108" t="s">
        <v>2182</v>
      </c>
      <c r="D106" s="108" t="s">
        <v>2179</v>
      </c>
      <c r="E106" s="178">
        <v>21460</v>
      </c>
      <c r="F106" s="277">
        <f>E106/5280</f>
        <v>4.0643939393939394</v>
      </c>
      <c r="G106" s="15">
        <v>1997</v>
      </c>
      <c r="H106" s="15" t="s">
        <v>2180</v>
      </c>
      <c r="I106" s="108" t="s">
        <v>2181</v>
      </c>
      <c r="J106" s="108" t="s">
        <v>2194</v>
      </c>
    </row>
    <row r="107" spans="1:10" s="15" customFormat="1" ht="45" x14ac:dyDescent="0.25">
      <c r="A107" s="15" t="s">
        <v>462</v>
      </c>
      <c r="B107" s="108" t="s">
        <v>517</v>
      </c>
      <c r="C107" s="108" t="s">
        <v>2184</v>
      </c>
      <c r="D107" s="108" t="s">
        <v>2195</v>
      </c>
      <c r="E107" s="180">
        <v>6000</v>
      </c>
      <c r="F107" s="132">
        <f>(E107-208)/5280</f>
        <v>1.0969696969696969</v>
      </c>
      <c r="G107" s="117">
        <v>2009</v>
      </c>
      <c r="I107" s="129" t="s">
        <v>383</v>
      </c>
      <c r="J107" s="108" t="s">
        <v>384</v>
      </c>
    </row>
    <row r="108" spans="1:10" ht="60" x14ac:dyDescent="0.25">
      <c r="A108" s="15" t="s">
        <v>462</v>
      </c>
      <c r="B108" s="104" t="s">
        <v>517</v>
      </c>
      <c r="C108" s="108" t="s">
        <v>2184</v>
      </c>
      <c r="D108" s="107" t="s">
        <v>2196</v>
      </c>
      <c r="E108" s="16" t="s">
        <v>249</v>
      </c>
      <c r="F108" s="311" t="s">
        <v>853</v>
      </c>
      <c r="G108" s="105">
        <v>2013</v>
      </c>
      <c r="I108" s="107" t="s">
        <v>2186</v>
      </c>
      <c r="J108" s="107" t="s">
        <v>2187</v>
      </c>
    </row>
    <row r="109" spans="1:10" ht="60" x14ac:dyDescent="0.25">
      <c r="A109" s="15" t="s">
        <v>462</v>
      </c>
      <c r="B109" s="104" t="s">
        <v>517</v>
      </c>
      <c r="C109" s="104" t="s">
        <v>2183</v>
      </c>
      <c r="D109" s="104" t="s">
        <v>2197</v>
      </c>
      <c r="E109" s="16">
        <v>1500</v>
      </c>
      <c r="F109" s="311" t="s">
        <v>853</v>
      </c>
      <c r="G109" s="38" t="s">
        <v>2185</v>
      </c>
      <c r="I109" s="107" t="s">
        <v>2188</v>
      </c>
      <c r="J109" s="107" t="s">
        <v>2189</v>
      </c>
    </row>
    <row r="110" spans="1:10" s="15" customFormat="1" ht="45" x14ac:dyDescent="0.25">
      <c r="A110" s="15" t="s">
        <v>462</v>
      </c>
      <c r="B110" s="104" t="s">
        <v>517</v>
      </c>
      <c r="C110" s="104" t="s">
        <v>2198</v>
      </c>
      <c r="D110" s="297" t="s">
        <v>2247</v>
      </c>
      <c r="E110" s="310">
        <v>2200</v>
      </c>
      <c r="F110" s="132" t="s">
        <v>853</v>
      </c>
      <c r="G110" s="15">
        <v>1953</v>
      </c>
      <c r="H110" s="15" t="s">
        <v>385</v>
      </c>
      <c r="I110" s="108" t="s">
        <v>386</v>
      </c>
      <c r="J110" s="77" t="s">
        <v>387</v>
      </c>
    </row>
    <row r="111" spans="1:10" s="117" customFormat="1" ht="30" x14ac:dyDescent="0.25">
      <c r="A111" s="15" t="s">
        <v>462</v>
      </c>
      <c r="B111" s="108" t="s">
        <v>517</v>
      </c>
      <c r="C111" s="108" t="s">
        <v>2198</v>
      </c>
      <c r="D111" s="77" t="s">
        <v>2248</v>
      </c>
      <c r="E111" s="323">
        <v>163046</v>
      </c>
      <c r="F111" s="132">
        <f>30.88-F112-F118-F120-F122-F125-F129</f>
        <v>13.476590909090907</v>
      </c>
      <c r="G111" s="117">
        <v>1933</v>
      </c>
      <c r="H111" s="117" t="s">
        <v>388</v>
      </c>
      <c r="I111" s="77" t="s">
        <v>389</v>
      </c>
      <c r="J111" s="77" t="s">
        <v>390</v>
      </c>
    </row>
    <row r="112" spans="1:10" ht="60" x14ac:dyDescent="0.25">
      <c r="A112" s="15" t="s">
        <v>462</v>
      </c>
      <c r="B112" s="104" t="s">
        <v>517</v>
      </c>
      <c r="C112" s="104" t="s">
        <v>2198</v>
      </c>
      <c r="D112" s="107" t="s">
        <v>2200</v>
      </c>
      <c r="E112" s="16">
        <v>27200</v>
      </c>
      <c r="F112" s="18">
        <f>E112/5280</f>
        <v>5.1515151515151514</v>
      </c>
      <c r="G112" s="38" t="s">
        <v>2259</v>
      </c>
      <c r="H112" s="10" t="s">
        <v>2204</v>
      </c>
      <c r="I112" s="112" t="s">
        <v>2206</v>
      </c>
      <c r="J112" s="107" t="s">
        <v>2207</v>
      </c>
    </row>
    <row r="113" spans="1:10" s="15" customFormat="1" ht="90" x14ac:dyDescent="0.25">
      <c r="A113" s="15" t="s">
        <v>462</v>
      </c>
      <c r="B113" s="108" t="s">
        <v>517</v>
      </c>
      <c r="C113" s="108" t="s">
        <v>2198</v>
      </c>
      <c r="D113" s="108" t="s">
        <v>2250</v>
      </c>
      <c r="E113" s="309">
        <v>9000</v>
      </c>
      <c r="F113" s="132" t="s">
        <v>853</v>
      </c>
      <c r="G113" s="15" t="s">
        <v>2282</v>
      </c>
      <c r="H113" s="15" t="s">
        <v>391</v>
      </c>
      <c r="I113" s="108" t="s">
        <v>1020</v>
      </c>
      <c r="J113" s="108" t="s">
        <v>2258</v>
      </c>
    </row>
    <row r="114" spans="1:10" ht="60" x14ac:dyDescent="0.25">
      <c r="A114" s="15" t="s">
        <v>462</v>
      </c>
      <c r="B114" s="104" t="s">
        <v>517</v>
      </c>
      <c r="C114" s="104" t="s">
        <v>2198</v>
      </c>
      <c r="D114" s="104" t="s">
        <v>2199</v>
      </c>
      <c r="E114" s="105">
        <v>500</v>
      </c>
      <c r="F114" s="305" t="s">
        <v>853</v>
      </c>
      <c r="G114" s="105" t="s">
        <v>2185</v>
      </c>
      <c r="I114" s="107" t="s">
        <v>2188</v>
      </c>
      <c r="J114" s="107" t="s">
        <v>2205</v>
      </c>
    </row>
    <row r="115" spans="1:10" s="15" customFormat="1" ht="90" x14ac:dyDescent="0.25">
      <c r="A115" s="15" t="s">
        <v>462</v>
      </c>
      <c r="B115" s="108" t="s">
        <v>517</v>
      </c>
      <c r="C115" s="108" t="s">
        <v>2198</v>
      </c>
      <c r="D115" s="108" t="s">
        <v>2251</v>
      </c>
      <c r="E115" s="309">
        <v>4000</v>
      </c>
      <c r="F115" s="132" t="s">
        <v>853</v>
      </c>
      <c r="G115" s="15" t="s">
        <v>2282</v>
      </c>
      <c r="H115" s="15" t="s">
        <v>391</v>
      </c>
      <c r="I115" s="108" t="s">
        <v>1020</v>
      </c>
      <c r="J115" s="108" t="s">
        <v>2249</v>
      </c>
    </row>
    <row r="116" spans="1:10" s="86" customFormat="1" ht="45" x14ac:dyDescent="0.25">
      <c r="A116" s="15" t="s">
        <v>462</v>
      </c>
      <c r="B116" s="82" t="s">
        <v>517</v>
      </c>
      <c r="C116" s="82" t="s">
        <v>2198</v>
      </c>
      <c r="D116" s="120" t="s">
        <v>2262</v>
      </c>
      <c r="E116" s="323">
        <v>3600</v>
      </c>
      <c r="F116" s="241" t="s">
        <v>853</v>
      </c>
      <c r="G116" s="86" t="s">
        <v>2282</v>
      </c>
      <c r="I116" s="82" t="s">
        <v>392</v>
      </c>
      <c r="J116" s="82" t="s">
        <v>393</v>
      </c>
    </row>
    <row r="117" spans="1:10" ht="60" x14ac:dyDescent="0.25">
      <c r="A117" s="15" t="s">
        <v>462</v>
      </c>
      <c r="B117" s="11" t="s">
        <v>517</v>
      </c>
      <c r="C117" s="11" t="s">
        <v>2198</v>
      </c>
      <c r="D117" s="83" t="s">
        <v>2252</v>
      </c>
      <c r="E117" s="242">
        <v>600</v>
      </c>
      <c r="F117" s="133" t="s">
        <v>853</v>
      </c>
      <c r="G117" s="105">
        <v>2014</v>
      </c>
      <c r="I117" s="83" t="s">
        <v>2208</v>
      </c>
      <c r="J117" s="57" t="s">
        <v>2209</v>
      </c>
    </row>
    <row r="118" spans="1:10" s="235" customFormat="1" ht="60" x14ac:dyDescent="0.25">
      <c r="A118" s="235" t="s">
        <v>462</v>
      </c>
      <c r="B118" s="142" t="s">
        <v>517</v>
      </c>
      <c r="C118" s="142" t="s">
        <v>2198</v>
      </c>
      <c r="D118" s="144" t="s">
        <v>2201</v>
      </c>
      <c r="E118" s="139">
        <f>4200+600</f>
        <v>4800</v>
      </c>
      <c r="F118" s="140">
        <f t="shared" ref="F118:F122" si="6">E118/5280</f>
        <v>0.90909090909090906</v>
      </c>
      <c r="G118" s="235" t="s">
        <v>2282</v>
      </c>
      <c r="H118" s="144" t="s">
        <v>2210</v>
      </c>
      <c r="I118" s="144" t="s">
        <v>2211</v>
      </c>
      <c r="J118" s="144" t="s">
        <v>2212</v>
      </c>
    </row>
    <row r="119" spans="1:10" s="15" customFormat="1" ht="75" x14ac:dyDescent="0.25">
      <c r="A119" s="15" t="s">
        <v>462</v>
      </c>
      <c r="B119" s="108" t="s">
        <v>517</v>
      </c>
      <c r="C119" s="108" t="s">
        <v>2198</v>
      </c>
      <c r="D119" s="108" t="s">
        <v>2253</v>
      </c>
      <c r="E119" s="310">
        <v>4110</v>
      </c>
      <c r="F119" s="241" t="s">
        <v>853</v>
      </c>
      <c r="G119" s="15" t="s">
        <v>2282</v>
      </c>
      <c r="H119" s="15" t="s">
        <v>394</v>
      </c>
      <c r="I119" s="108" t="s">
        <v>395</v>
      </c>
      <c r="J119" s="108" t="s">
        <v>396</v>
      </c>
    </row>
    <row r="120" spans="1:10" s="142" customFormat="1" ht="60" x14ac:dyDescent="0.25">
      <c r="A120" s="235" t="s">
        <v>462</v>
      </c>
      <c r="B120" s="142" t="s">
        <v>517</v>
      </c>
      <c r="C120" s="142" t="s">
        <v>2198</v>
      </c>
      <c r="D120" s="144" t="s">
        <v>2202</v>
      </c>
      <c r="E120" s="139">
        <f>2000+500</f>
        <v>2500</v>
      </c>
      <c r="F120" s="140">
        <f t="shared" si="6"/>
        <v>0.47348484848484851</v>
      </c>
      <c r="G120" s="235" t="s">
        <v>2282</v>
      </c>
      <c r="H120" s="144" t="s">
        <v>2210</v>
      </c>
      <c r="I120" s="144" t="s">
        <v>2211</v>
      </c>
      <c r="J120" s="144" t="s">
        <v>2212</v>
      </c>
    </row>
    <row r="121" spans="1:10" s="15" customFormat="1" ht="60" x14ac:dyDescent="0.25">
      <c r="A121" s="15" t="s">
        <v>462</v>
      </c>
      <c r="B121" s="108" t="s">
        <v>517</v>
      </c>
      <c r="C121" s="108" t="s">
        <v>2198</v>
      </c>
      <c r="D121" s="108" t="s">
        <v>2254</v>
      </c>
      <c r="E121" s="309">
        <v>2000</v>
      </c>
      <c r="F121" s="241" t="s">
        <v>853</v>
      </c>
      <c r="G121" s="15" t="s">
        <v>2282</v>
      </c>
      <c r="H121" s="15">
        <v>1996</v>
      </c>
      <c r="I121" s="108" t="s">
        <v>397</v>
      </c>
      <c r="J121" s="108" t="s">
        <v>398</v>
      </c>
    </row>
    <row r="122" spans="1:10" s="142" customFormat="1" ht="60" x14ac:dyDescent="0.25">
      <c r="A122" s="235" t="s">
        <v>462</v>
      </c>
      <c r="B122" s="142" t="s">
        <v>517</v>
      </c>
      <c r="C122" s="142" t="s">
        <v>2198</v>
      </c>
      <c r="D122" s="144" t="s">
        <v>2203</v>
      </c>
      <c r="E122" s="139">
        <f>6400+600</f>
        <v>7000</v>
      </c>
      <c r="F122" s="140">
        <f t="shared" si="6"/>
        <v>1.3257575757575757</v>
      </c>
      <c r="G122" s="235" t="s">
        <v>2282</v>
      </c>
      <c r="H122" s="144" t="s">
        <v>2210</v>
      </c>
      <c r="I122" s="144" t="s">
        <v>2211</v>
      </c>
      <c r="J122" s="144" t="s">
        <v>2212</v>
      </c>
    </row>
    <row r="123" spans="1:10" s="15" customFormat="1" ht="90" x14ac:dyDescent="0.25">
      <c r="A123" s="15" t="s">
        <v>462</v>
      </c>
      <c r="B123" s="108" t="s">
        <v>517</v>
      </c>
      <c r="C123" s="108" t="s">
        <v>2198</v>
      </c>
      <c r="D123" s="108" t="s">
        <v>2255</v>
      </c>
      <c r="E123" s="309">
        <v>7400</v>
      </c>
      <c r="F123" s="241" t="s">
        <v>853</v>
      </c>
      <c r="G123" s="15" t="s">
        <v>2282</v>
      </c>
      <c r="H123" s="15" t="s">
        <v>399</v>
      </c>
      <c r="I123" s="108" t="s">
        <v>1022</v>
      </c>
      <c r="J123" s="108" t="s">
        <v>400</v>
      </c>
    </row>
    <row r="124" spans="1:10" s="15" customFormat="1" ht="90" x14ac:dyDescent="0.25">
      <c r="A124" s="15" t="s">
        <v>462</v>
      </c>
      <c r="B124" s="108" t="s">
        <v>517</v>
      </c>
      <c r="C124" s="108" t="s">
        <v>2198</v>
      </c>
      <c r="D124" s="77" t="s">
        <v>2261</v>
      </c>
      <c r="E124" s="309">
        <v>37000</v>
      </c>
      <c r="F124" s="132" t="s">
        <v>853</v>
      </c>
      <c r="G124" s="15">
        <v>1962</v>
      </c>
      <c r="I124" s="129" t="s">
        <v>1021</v>
      </c>
      <c r="J124" s="108" t="s">
        <v>2260</v>
      </c>
    </row>
    <row r="125" spans="1:10" s="235" customFormat="1" ht="60" x14ac:dyDescent="0.25">
      <c r="A125" s="235" t="s">
        <v>462</v>
      </c>
      <c r="B125" s="142" t="s">
        <v>517</v>
      </c>
      <c r="C125" s="142" t="s">
        <v>2198</v>
      </c>
      <c r="D125" s="144" t="s">
        <v>2213</v>
      </c>
      <c r="E125" s="139">
        <v>3600</v>
      </c>
      <c r="F125" s="140">
        <f t="shared" ref="F125" si="7">E125/5280</f>
        <v>0.68181818181818177</v>
      </c>
      <c r="G125" s="235" t="s">
        <v>2282</v>
      </c>
      <c r="H125" s="144" t="s">
        <v>2210</v>
      </c>
      <c r="I125" s="144" t="s">
        <v>2257</v>
      </c>
      <c r="J125" s="144" t="s">
        <v>2256</v>
      </c>
    </row>
    <row r="126" spans="1:10" ht="75" x14ac:dyDescent="0.25">
      <c r="A126" s="15" t="s">
        <v>462</v>
      </c>
      <c r="B126" s="108" t="s">
        <v>517</v>
      </c>
      <c r="C126" s="108" t="s">
        <v>2198</v>
      </c>
      <c r="D126" s="108" t="s">
        <v>2263</v>
      </c>
      <c r="E126" s="178" t="s">
        <v>401</v>
      </c>
      <c r="F126" s="241" t="s">
        <v>853</v>
      </c>
      <c r="G126" s="15" t="s">
        <v>2282</v>
      </c>
      <c r="H126" s="15" t="s">
        <v>402</v>
      </c>
      <c r="I126" s="108" t="s">
        <v>1023</v>
      </c>
      <c r="J126" s="108" t="s">
        <v>403</v>
      </c>
    </row>
    <row r="127" spans="1:10" s="15" customFormat="1" ht="75" x14ac:dyDescent="0.25">
      <c r="A127" s="15" t="s">
        <v>462</v>
      </c>
      <c r="B127" s="108" t="s">
        <v>517</v>
      </c>
      <c r="C127" s="108" t="s">
        <v>2198</v>
      </c>
      <c r="D127" s="108" t="s">
        <v>2264</v>
      </c>
      <c r="E127" s="178" t="s">
        <v>404</v>
      </c>
      <c r="F127" s="241" t="s">
        <v>853</v>
      </c>
      <c r="G127" s="15" t="s">
        <v>2282</v>
      </c>
      <c r="H127" s="15" t="s">
        <v>405</v>
      </c>
      <c r="I127" s="108" t="s">
        <v>406</v>
      </c>
      <c r="J127" s="108" t="s">
        <v>2265</v>
      </c>
    </row>
    <row r="128" spans="1:10" s="15" customFormat="1" ht="75" x14ac:dyDescent="0.25">
      <c r="A128" s="15" t="s">
        <v>462</v>
      </c>
      <c r="B128" s="108" t="s">
        <v>517</v>
      </c>
      <c r="C128" s="108" t="s">
        <v>2198</v>
      </c>
      <c r="D128" s="108" t="s">
        <v>2266</v>
      </c>
      <c r="E128" s="309">
        <v>8500</v>
      </c>
      <c r="F128" s="241" t="s">
        <v>853</v>
      </c>
      <c r="G128" s="15" t="s">
        <v>2282</v>
      </c>
      <c r="H128" s="15" t="s">
        <v>408</v>
      </c>
      <c r="I128" s="108" t="s">
        <v>1024</v>
      </c>
      <c r="J128" s="108" t="s">
        <v>2267</v>
      </c>
    </row>
    <row r="129" spans="1:15" s="15" customFormat="1" ht="180" x14ac:dyDescent="0.25">
      <c r="A129" s="15" t="s">
        <v>462</v>
      </c>
      <c r="B129" s="104" t="s">
        <v>517</v>
      </c>
      <c r="C129" s="104" t="s">
        <v>2198</v>
      </c>
      <c r="D129" s="107" t="s">
        <v>2280</v>
      </c>
      <c r="E129" s="291">
        <v>46790</v>
      </c>
      <c r="F129" s="241">
        <f>E129/5280</f>
        <v>8.8617424242424239</v>
      </c>
      <c r="G129" s="15" t="s">
        <v>2282</v>
      </c>
      <c r="H129" s="38" t="s">
        <v>1910</v>
      </c>
      <c r="I129" s="107" t="s">
        <v>2214</v>
      </c>
      <c r="J129" s="107" t="s">
        <v>2281</v>
      </c>
    </row>
    <row r="130" spans="1:15" s="15" customFormat="1" ht="105" x14ac:dyDescent="0.25">
      <c r="A130" s="15" t="s">
        <v>462</v>
      </c>
      <c r="B130" s="108" t="s">
        <v>517</v>
      </c>
      <c r="C130" s="108" t="s">
        <v>2198</v>
      </c>
      <c r="D130" s="322" t="s">
        <v>2268</v>
      </c>
      <c r="E130" s="180">
        <f>5.34*5280</f>
        <v>28195.200000000001</v>
      </c>
      <c r="F130" s="132" t="s">
        <v>853</v>
      </c>
      <c r="G130" s="109">
        <v>1971</v>
      </c>
      <c r="H130" s="15" t="s">
        <v>409</v>
      </c>
      <c r="I130" s="108" t="s">
        <v>1025</v>
      </c>
      <c r="J130" s="108" t="s">
        <v>2269</v>
      </c>
    </row>
    <row r="131" spans="1:15" s="11" customFormat="1" ht="120" x14ac:dyDescent="0.25">
      <c r="A131" s="117" t="s">
        <v>462</v>
      </c>
      <c r="B131" s="11" t="s">
        <v>517</v>
      </c>
      <c r="C131" s="11" t="s">
        <v>2198</v>
      </c>
      <c r="D131" s="57" t="s">
        <v>2272</v>
      </c>
      <c r="E131" s="242">
        <v>5600</v>
      </c>
      <c r="F131" s="255" t="s">
        <v>853</v>
      </c>
      <c r="G131" s="150" t="s">
        <v>2273</v>
      </c>
      <c r="H131" s="150" t="s">
        <v>2270</v>
      </c>
      <c r="I131" s="57" t="s">
        <v>2275</v>
      </c>
      <c r="J131" s="57" t="s">
        <v>2274</v>
      </c>
      <c r="O131" s="57"/>
    </row>
    <row r="132" spans="1:15" s="15" customFormat="1" ht="75" x14ac:dyDescent="0.25">
      <c r="A132" s="15" t="s">
        <v>462</v>
      </c>
      <c r="B132" s="11" t="s">
        <v>517</v>
      </c>
      <c r="C132" s="11" t="s">
        <v>2198</v>
      </c>
      <c r="D132" s="57" t="s">
        <v>2271</v>
      </c>
      <c r="E132" s="242">
        <v>12000</v>
      </c>
      <c r="F132" s="241" t="s">
        <v>853</v>
      </c>
      <c r="G132" s="10" t="s">
        <v>2215</v>
      </c>
      <c r="I132" s="57" t="s">
        <v>2217</v>
      </c>
      <c r="J132" s="83" t="s">
        <v>2218</v>
      </c>
    </row>
    <row r="133" spans="1:15" s="15" customFormat="1" ht="45" x14ac:dyDescent="0.25">
      <c r="A133" s="15" t="s">
        <v>462</v>
      </c>
      <c r="B133" s="11" t="s">
        <v>517</v>
      </c>
      <c r="C133" s="11" t="s">
        <v>2198</v>
      </c>
      <c r="D133" s="57" t="s">
        <v>2276</v>
      </c>
      <c r="E133" s="242">
        <v>2000</v>
      </c>
      <c r="F133" s="241" t="s">
        <v>853</v>
      </c>
      <c r="G133" s="10" t="s">
        <v>158</v>
      </c>
      <c r="H133" s="15" t="s">
        <v>633</v>
      </c>
      <c r="I133" s="57" t="s">
        <v>2277</v>
      </c>
      <c r="J133" s="83" t="s">
        <v>2278</v>
      </c>
    </row>
    <row r="134" spans="1:15" s="15" customFormat="1" ht="45" x14ac:dyDescent="0.25">
      <c r="A134" s="15" t="s">
        <v>462</v>
      </c>
      <c r="B134" s="11" t="s">
        <v>517</v>
      </c>
      <c r="C134" s="11" t="s">
        <v>2198</v>
      </c>
      <c r="D134" s="57" t="s">
        <v>2279</v>
      </c>
      <c r="E134" s="242">
        <v>1430</v>
      </c>
      <c r="F134" s="324" t="s">
        <v>853</v>
      </c>
      <c r="G134" s="15" t="s">
        <v>158</v>
      </c>
      <c r="H134" s="10" t="s">
        <v>2216</v>
      </c>
      <c r="I134" s="57" t="s">
        <v>2219</v>
      </c>
      <c r="J134" s="57" t="s">
        <v>2220</v>
      </c>
    </row>
    <row r="135" spans="1:15" s="15" customFormat="1" ht="30" x14ac:dyDescent="0.25">
      <c r="A135" s="15" t="s">
        <v>462</v>
      </c>
      <c r="B135" s="11" t="s">
        <v>517</v>
      </c>
      <c r="C135" s="11" t="s">
        <v>2221</v>
      </c>
      <c r="D135" s="108" t="s">
        <v>2283</v>
      </c>
      <c r="E135" s="180" t="s">
        <v>249</v>
      </c>
      <c r="F135" s="277" t="s">
        <v>249</v>
      </c>
      <c r="G135" s="15">
        <v>1946</v>
      </c>
      <c r="H135" s="108" t="s">
        <v>410</v>
      </c>
      <c r="I135" s="108" t="s">
        <v>1026</v>
      </c>
      <c r="J135" s="108" t="s">
        <v>411</v>
      </c>
    </row>
    <row r="136" spans="1:15" s="15" customFormat="1" ht="30" x14ac:dyDescent="0.25">
      <c r="A136" s="15" t="s">
        <v>462</v>
      </c>
      <c r="B136" s="11" t="s">
        <v>517</v>
      </c>
      <c r="C136" s="11" t="s">
        <v>2221</v>
      </c>
      <c r="D136" s="108" t="s">
        <v>2284</v>
      </c>
      <c r="E136" s="180" t="s">
        <v>249</v>
      </c>
      <c r="F136" s="277" t="s">
        <v>249</v>
      </c>
      <c r="G136" s="15">
        <v>1959</v>
      </c>
      <c r="H136" s="108"/>
      <c r="I136" s="108" t="s">
        <v>379</v>
      </c>
      <c r="J136" s="108" t="s">
        <v>412</v>
      </c>
    </row>
    <row r="137" spans="1:15" s="15" customFormat="1" ht="30" x14ac:dyDescent="0.25">
      <c r="A137" s="15" t="s">
        <v>462</v>
      </c>
      <c r="B137" s="11" t="s">
        <v>517</v>
      </c>
      <c r="C137" s="11" t="s">
        <v>2221</v>
      </c>
      <c r="D137" s="57" t="s">
        <v>2222</v>
      </c>
      <c r="E137" s="242">
        <v>1000</v>
      </c>
      <c r="F137" s="18">
        <f t="shared" ref="F137:F138" si="8">E137/5280</f>
        <v>0.18939393939393939</v>
      </c>
      <c r="G137" s="150" t="s">
        <v>1971</v>
      </c>
      <c r="H137" s="108"/>
      <c r="I137" s="57" t="s">
        <v>2223</v>
      </c>
      <c r="J137" s="57" t="s">
        <v>2224</v>
      </c>
    </row>
    <row r="138" spans="1:15" s="15" customFormat="1" ht="105" x14ac:dyDescent="0.25">
      <c r="A138" s="15" t="s">
        <v>462</v>
      </c>
      <c r="B138" s="11" t="s">
        <v>517</v>
      </c>
      <c r="C138" s="11" t="s">
        <v>2594</v>
      </c>
      <c r="D138" s="83" t="s">
        <v>2285</v>
      </c>
      <c r="E138" s="242">
        <v>24500</v>
      </c>
      <c r="F138" s="18">
        <f t="shared" si="8"/>
        <v>4.6401515151515156</v>
      </c>
      <c r="G138" s="86">
        <v>1960</v>
      </c>
      <c r="H138" s="15" t="s">
        <v>2286</v>
      </c>
      <c r="I138" s="57" t="s">
        <v>2287</v>
      </c>
      <c r="J138" s="57" t="s">
        <v>2288</v>
      </c>
    </row>
    <row r="139" spans="1:15" s="1" customFormat="1" ht="45" x14ac:dyDescent="0.25">
      <c r="A139" s="15" t="s">
        <v>462</v>
      </c>
      <c r="B139" s="60" t="s">
        <v>1577</v>
      </c>
      <c r="C139" s="108" t="s">
        <v>2598</v>
      </c>
      <c r="D139" s="108" t="s">
        <v>2289</v>
      </c>
      <c r="E139" s="309">
        <v>34155</v>
      </c>
      <c r="F139" s="277">
        <f>E139/5280</f>
        <v>6.46875</v>
      </c>
      <c r="G139" s="15" t="s">
        <v>413</v>
      </c>
      <c r="H139" s="15" t="s">
        <v>2290</v>
      </c>
      <c r="I139" s="108" t="s">
        <v>1027</v>
      </c>
      <c r="J139" s="108" t="s">
        <v>414</v>
      </c>
    </row>
    <row r="140" spans="1:15" s="1" customFormat="1" ht="120" x14ac:dyDescent="0.25">
      <c r="A140" s="15" t="s">
        <v>462</v>
      </c>
      <c r="B140" s="11" t="s">
        <v>1577</v>
      </c>
      <c r="C140" s="108" t="s">
        <v>2598</v>
      </c>
      <c r="D140" s="108" t="s">
        <v>2295</v>
      </c>
      <c r="E140" s="307">
        <v>3500</v>
      </c>
      <c r="F140" s="277">
        <f>E140/5280</f>
        <v>0.66287878787878785</v>
      </c>
      <c r="G140" s="15">
        <v>1973</v>
      </c>
      <c r="H140" s="15" t="s">
        <v>2292</v>
      </c>
      <c r="I140" s="108" t="s">
        <v>1028</v>
      </c>
      <c r="J140" s="108" t="s">
        <v>2291</v>
      </c>
    </row>
    <row r="141" spans="1:15" s="235" customFormat="1" ht="210" x14ac:dyDescent="0.25">
      <c r="A141" s="235" t="s">
        <v>462</v>
      </c>
      <c r="B141" s="236" t="s">
        <v>1577</v>
      </c>
      <c r="C141" s="236" t="s">
        <v>2599</v>
      </c>
      <c r="D141" s="151" t="s">
        <v>2227</v>
      </c>
      <c r="E141" s="320">
        <v>35500</v>
      </c>
      <c r="F141" s="246">
        <f>(E141-E142-E140-E143-E144)/5280</f>
        <v>4.2227272727272727</v>
      </c>
      <c r="G141" s="321" t="s">
        <v>2228</v>
      </c>
      <c r="I141" s="236" t="s">
        <v>2293</v>
      </c>
      <c r="J141" s="144" t="s">
        <v>2597</v>
      </c>
    </row>
    <row r="142" spans="1:15" s="15" customFormat="1" ht="30" x14ac:dyDescent="0.25">
      <c r="A142" s="15" t="s">
        <v>462</v>
      </c>
      <c r="B142" s="11" t="s">
        <v>1577</v>
      </c>
      <c r="C142" s="108" t="s">
        <v>2598</v>
      </c>
      <c r="D142" s="322" t="s">
        <v>2294</v>
      </c>
      <c r="E142" s="309">
        <v>4224</v>
      </c>
      <c r="F142" s="277">
        <f>E142/5280</f>
        <v>0.8</v>
      </c>
      <c r="G142" s="15">
        <v>1956</v>
      </c>
      <c r="H142" s="15">
        <v>1962</v>
      </c>
      <c r="I142" s="108" t="s">
        <v>1029</v>
      </c>
      <c r="J142" s="108" t="s">
        <v>415</v>
      </c>
    </row>
    <row r="143" spans="1:15" s="15" customFormat="1" ht="60" x14ac:dyDescent="0.25">
      <c r="A143" s="15" t="s">
        <v>462</v>
      </c>
      <c r="B143" s="11" t="s">
        <v>1577</v>
      </c>
      <c r="C143" s="11" t="s">
        <v>527</v>
      </c>
      <c r="D143" s="57" t="s">
        <v>2225</v>
      </c>
      <c r="E143" s="242">
        <v>1560</v>
      </c>
      <c r="F143" s="18">
        <f t="shared" ref="F143:F144" si="9">E143/5280</f>
        <v>0.29545454545454547</v>
      </c>
      <c r="G143" s="10" t="s">
        <v>1971</v>
      </c>
      <c r="I143" s="57" t="s">
        <v>2296</v>
      </c>
      <c r="J143" s="57" t="s">
        <v>2297</v>
      </c>
    </row>
    <row r="144" spans="1:15" s="15" customFormat="1" ht="60" x14ac:dyDescent="0.25">
      <c r="A144" s="15" t="s">
        <v>462</v>
      </c>
      <c r="B144" s="11" t="s">
        <v>1577</v>
      </c>
      <c r="C144" s="11" t="s">
        <v>527</v>
      </c>
      <c r="D144" s="57" t="s">
        <v>2226</v>
      </c>
      <c r="E144" s="242">
        <v>3920</v>
      </c>
      <c r="F144" s="18">
        <f t="shared" si="9"/>
        <v>0.74242424242424243</v>
      </c>
      <c r="G144" s="10" t="s">
        <v>1971</v>
      </c>
      <c r="I144" s="57" t="s">
        <v>2296</v>
      </c>
      <c r="J144" s="57" t="s">
        <v>2298</v>
      </c>
    </row>
    <row r="145" spans="1:12" s="15" customFormat="1" ht="75" x14ac:dyDescent="0.25">
      <c r="A145" s="15" t="s">
        <v>462</v>
      </c>
      <c r="B145" s="104" t="s">
        <v>2229</v>
      </c>
      <c r="C145" s="107" t="s">
        <v>2600</v>
      </c>
      <c r="D145" s="107" t="s">
        <v>2299</v>
      </c>
      <c r="E145" s="304">
        <v>32195</v>
      </c>
      <c r="F145" s="277">
        <f>E145/5280</f>
        <v>6.0975378787878789</v>
      </c>
      <c r="G145" s="15">
        <v>1926</v>
      </c>
      <c r="H145" s="15" t="s">
        <v>2231</v>
      </c>
      <c r="I145" s="108" t="s">
        <v>1030</v>
      </c>
      <c r="J145" s="322" t="s">
        <v>2235</v>
      </c>
    </row>
    <row r="146" spans="1:12" s="15" customFormat="1" ht="75" x14ac:dyDescent="0.25">
      <c r="A146" s="15" t="s">
        <v>462</v>
      </c>
      <c r="B146" s="104" t="s">
        <v>2229</v>
      </c>
      <c r="C146" s="107" t="s">
        <v>2600</v>
      </c>
      <c r="D146" s="107" t="s">
        <v>2230</v>
      </c>
      <c r="E146" s="242">
        <v>26257</v>
      </c>
      <c r="F146" s="133" t="s">
        <v>853</v>
      </c>
      <c r="G146" s="15" t="s">
        <v>2232</v>
      </c>
      <c r="I146" s="107" t="s">
        <v>2233</v>
      </c>
      <c r="J146" s="107" t="s">
        <v>2234</v>
      </c>
    </row>
    <row r="147" spans="1:12" s="15" customFormat="1" ht="60" x14ac:dyDescent="0.25">
      <c r="A147" s="15" t="s">
        <v>462</v>
      </c>
      <c r="B147" s="108" t="s">
        <v>2229</v>
      </c>
      <c r="C147" s="108" t="s">
        <v>2236</v>
      </c>
      <c r="D147" s="108" t="s">
        <v>2300</v>
      </c>
      <c r="E147" s="325">
        <v>5400</v>
      </c>
      <c r="F147" s="115">
        <f>2300/5280</f>
        <v>0.43560606060606061</v>
      </c>
      <c r="G147" s="15">
        <v>1915</v>
      </c>
      <c r="H147" s="15" t="s">
        <v>2237</v>
      </c>
      <c r="I147" s="108" t="s">
        <v>2303</v>
      </c>
      <c r="J147" s="322" t="s">
        <v>2304</v>
      </c>
    </row>
    <row r="148" spans="1:12" s="15" customFormat="1" ht="45" x14ac:dyDescent="0.25">
      <c r="A148" s="15" t="s">
        <v>462</v>
      </c>
      <c r="B148" s="104" t="s">
        <v>2229</v>
      </c>
      <c r="C148" s="107" t="s">
        <v>2595</v>
      </c>
      <c r="D148" s="104" t="s">
        <v>416</v>
      </c>
      <c r="E148" s="16">
        <v>5700</v>
      </c>
      <c r="F148" s="258">
        <f>3400/5280</f>
        <v>0.64393939393939392</v>
      </c>
      <c r="G148" s="15" t="s">
        <v>2259</v>
      </c>
      <c r="H148" s="15">
        <v>2014</v>
      </c>
      <c r="I148" s="108" t="s">
        <v>2302</v>
      </c>
      <c r="J148" s="322" t="s">
        <v>2301</v>
      </c>
    </row>
    <row r="149" spans="1:12" s="108" customFormat="1" ht="75" x14ac:dyDescent="0.25">
      <c r="A149" s="15" t="s">
        <v>462</v>
      </c>
      <c r="B149" s="108" t="s">
        <v>2238</v>
      </c>
      <c r="C149" s="107" t="s">
        <v>2239</v>
      </c>
      <c r="D149" s="107" t="s">
        <v>2305</v>
      </c>
      <c r="E149" s="307">
        <v>13457</v>
      </c>
      <c r="F149" s="277">
        <f>E149/5280</f>
        <v>2.5486742424242426</v>
      </c>
      <c r="G149" s="15" t="s">
        <v>417</v>
      </c>
      <c r="H149" s="15" t="s">
        <v>2240</v>
      </c>
      <c r="I149" s="108" t="s">
        <v>2241</v>
      </c>
      <c r="J149" s="108" t="s">
        <v>2242</v>
      </c>
    </row>
    <row r="150" spans="1:12" s="108" customFormat="1" ht="75" x14ac:dyDescent="0.25">
      <c r="A150" s="15" t="s">
        <v>462</v>
      </c>
      <c r="B150" s="104" t="s">
        <v>2238</v>
      </c>
      <c r="C150" s="107" t="s">
        <v>2243</v>
      </c>
      <c r="D150" s="112" t="s">
        <v>2306</v>
      </c>
      <c r="E150" s="16">
        <v>2000</v>
      </c>
      <c r="F150" s="72">
        <f t="shared" ref="F150" si="10">E150/5280</f>
        <v>0.37878787878787878</v>
      </c>
      <c r="G150" s="15">
        <v>1996</v>
      </c>
      <c r="H150" s="15" t="s">
        <v>2246</v>
      </c>
      <c r="I150" s="107" t="s">
        <v>2244</v>
      </c>
      <c r="J150" s="107" t="s">
        <v>2245</v>
      </c>
    </row>
    <row r="151" spans="1:12" s="108" customFormat="1" x14ac:dyDescent="0.25">
      <c r="E151" s="178"/>
      <c r="F151" s="177"/>
      <c r="G151" s="117"/>
      <c r="H151" s="15"/>
    </row>
    <row r="152" spans="1:12" s="1" customFormat="1" x14ac:dyDescent="0.25">
      <c r="B152" s="312"/>
      <c r="D152" s="92" t="s">
        <v>6</v>
      </c>
      <c r="E152" s="181">
        <f>SUM(E55:E149)</f>
        <v>672638.2</v>
      </c>
      <c r="F152" s="334">
        <f>F154+F155</f>
        <v>82.956893939393964</v>
      </c>
      <c r="G152" s="326"/>
    </row>
    <row r="153" spans="1:12" s="1" customFormat="1" x14ac:dyDescent="0.25">
      <c r="B153" s="312"/>
      <c r="D153" s="92"/>
      <c r="E153" s="182"/>
    </row>
    <row r="154" spans="1:12" s="1" customFormat="1" x14ac:dyDescent="0.25">
      <c r="A154" s="97"/>
      <c r="B154" s="97"/>
      <c r="C154" s="97"/>
      <c r="F154" s="327">
        <f>F150+F149+F148+F147+F145+F144+F143+F142+F140+F139+F138+F137+F129+F125+F122+F120+F118+F112+F111+F107+F106+F104+F103+F102+F101+F99+F98+F97+F96+F95+F93+F92+F91+F90+F89+F88+F87+F86+F85+F84+F82+F81+F80+F79+F78+F77+F76+F75+F74+F73+F72+F71+F70+F69+F68+F67+F66+F65+F44+F31+F30+F29+F17+F16+F15+F14+F13+F12+F10+F9+F8+F6+F5+F4+F2+F56</f>
        <v>77.298560606060633</v>
      </c>
      <c r="G154" s="97" t="s">
        <v>320</v>
      </c>
      <c r="H154" s="326"/>
    </row>
    <row r="155" spans="1:12" s="1" customFormat="1" x14ac:dyDescent="0.25">
      <c r="B155" s="312"/>
      <c r="F155" s="149">
        <f>F11+F94+F141</f>
        <v>5.6583333333333332</v>
      </c>
      <c r="G155" s="97" t="s">
        <v>154</v>
      </c>
      <c r="H155" s="326"/>
    </row>
    <row r="156" spans="1:12" x14ac:dyDescent="0.25">
      <c r="F156" s="3"/>
    </row>
    <row r="157" spans="1:12" s="48" customFormat="1" x14ac:dyDescent="0.25">
      <c r="A157" s="123" t="s">
        <v>247</v>
      </c>
      <c r="B157" s="314" t="s">
        <v>284</v>
      </c>
      <c r="C157" s="183"/>
      <c r="F157" s="184"/>
      <c r="G157" s="184"/>
      <c r="H157" s="184"/>
      <c r="I157" s="185"/>
      <c r="J157" s="300"/>
      <c r="K157" s="186"/>
      <c r="L157" s="186"/>
    </row>
    <row r="158" spans="1:12" s="48" customFormat="1" x14ac:dyDescent="0.25">
      <c r="A158" s="70"/>
      <c r="B158" s="314" t="s">
        <v>248</v>
      </c>
      <c r="C158" s="187"/>
      <c r="F158" s="188"/>
      <c r="G158" s="188"/>
      <c r="H158" s="188"/>
      <c r="I158" s="189"/>
      <c r="J158" s="301"/>
      <c r="K158" s="190"/>
      <c r="L158" s="191"/>
    </row>
    <row r="159" spans="1:12" s="11" customFormat="1" x14ac:dyDescent="0.25">
      <c r="A159" s="107"/>
      <c r="B159" s="314" t="s">
        <v>1411</v>
      </c>
      <c r="C159" s="187"/>
      <c r="E159" s="10"/>
      <c r="F159" s="188"/>
      <c r="G159" s="188"/>
      <c r="H159" s="188"/>
      <c r="I159" s="189"/>
      <c r="J159" s="301"/>
      <c r="K159" s="190"/>
      <c r="L159" s="191"/>
    </row>
    <row r="160" spans="1:12" s="11" customFormat="1" x14ac:dyDescent="0.25">
      <c r="B160" s="315" t="s">
        <v>485</v>
      </c>
      <c r="C160" s="187"/>
      <c r="E160" s="10"/>
      <c r="F160" s="188"/>
      <c r="G160" s="188"/>
      <c r="H160" s="188"/>
      <c r="I160" s="189"/>
      <c r="J160" s="301"/>
      <c r="K160" s="190"/>
      <c r="L160" s="191"/>
    </row>
    <row r="161" spans="2:12" s="11" customFormat="1" x14ac:dyDescent="0.25">
      <c r="B161" s="316"/>
      <c r="C161" s="234" t="s">
        <v>483</v>
      </c>
      <c r="E161" s="10"/>
      <c r="F161" s="188"/>
      <c r="G161" s="188"/>
      <c r="H161" s="188"/>
      <c r="I161" s="189"/>
      <c r="J161" s="301"/>
      <c r="K161" s="190"/>
      <c r="L161" s="191"/>
    </row>
    <row r="162" spans="2:12" s="11" customFormat="1" x14ac:dyDescent="0.25">
      <c r="B162" s="317"/>
      <c r="D162" s="192"/>
      <c r="E162" s="187"/>
      <c r="F162" s="188"/>
      <c r="G162" s="188"/>
      <c r="H162" s="188"/>
      <c r="I162" s="189"/>
      <c r="J162" s="301"/>
      <c r="K162" s="190"/>
      <c r="L162" s="191"/>
    </row>
    <row r="163" spans="2:12" s="11" customFormat="1" x14ac:dyDescent="0.25">
      <c r="B163" s="317"/>
      <c r="D163" s="192"/>
      <c r="E163" s="187"/>
      <c r="F163" s="188"/>
      <c r="G163" s="188"/>
      <c r="H163" s="188"/>
      <c r="I163" s="189"/>
      <c r="J163" s="301"/>
      <c r="K163" s="190"/>
      <c r="L163" s="191"/>
    </row>
    <row r="164" spans="2:12" s="11" customFormat="1" x14ac:dyDescent="0.25">
      <c r="B164" s="317"/>
      <c r="D164" s="192"/>
      <c r="E164" s="187"/>
      <c r="F164" s="188"/>
      <c r="G164" s="188"/>
      <c r="H164" s="188"/>
      <c r="I164" s="189"/>
      <c r="J164" s="302"/>
      <c r="K164" s="190"/>
      <c r="L164" s="191"/>
    </row>
    <row r="165" spans="2:12" s="11" customFormat="1" x14ac:dyDescent="0.25">
      <c r="B165" s="317"/>
      <c r="D165" s="192"/>
      <c r="E165" s="187"/>
      <c r="F165" s="188"/>
      <c r="G165" s="188"/>
      <c r="H165" s="188"/>
      <c r="I165" s="189"/>
      <c r="J165" s="301"/>
      <c r="K165" s="190"/>
      <c r="L165" s="191"/>
    </row>
    <row r="166" spans="2:12" s="11" customFormat="1" x14ac:dyDescent="0.25">
      <c r="B166" s="317"/>
      <c r="D166" s="192"/>
      <c r="E166" s="187"/>
      <c r="F166" s="188"/>
      <c r="G166" s="188"/>
      <c r="H166" s="188"/>
      <c r="I166" s="193"/>
      <c r="J166" s="302"/>
      <c r="K166" s="190"/>
      <c r="L166" s="191"/>
    </row>
    <row r="167" spans="2:12" s="11" customFormat="1" x14ac:dyDescent="0.25">
      <c r="B167" s="317"/>
      <c r="D167" s="192"/>
      <c r="E167" s="187"/>
      <c r="F167" s="188"/>
      <c r="G167" s="188"/>
      <c r="H167" s="188"/>
      <c r="I167" s="189"/>
      <c r="J167" s="302"/>
      <c r="K167" s="190"/>
      <c r="L167" s="191"/>
    </row>
    <row r="168" spans="2:12" s="11" customFormat="1" x14ac:dyDescent="0.25">
      <c r="B168" s="317"/>
      <c r="D168" s="192"/>
      <c r="E168" s="187"/>
      <c r="F168" s="188"/>
      <c r="G168" s="188"/>
      <c r="H168" s="188"/>
      <c r="I168" s="189"/>
      <c r="J168" s="301"/>
      <c r="K168" s="190"/>
      <c r="L168" s="191"/>
    </row>
    <row r="169" spans="2:12" s="11" customFormat="1" x14ac:dyDescent="0.25">
      <c r="B169" s="317"/>
      <c r="D169" s="192"/>
      <c r="E169" s="187"/>
      <c r="F169" s="188"/>
      <c r="G169" s="188"/>
      <c r="H169" s="188"/>
      <c r="I169" s="189"/>
      <c r="J169" s="301"/>
      <c r="K169" s="190"/>
      <c r="L169" s="191"/>
    </row>
    <row r="170" spans="2:12" s="11" customFormat="1" x14ac:dyDescent="0.25">
      <c r="B170" s="317"/>
      <c r="D170" s="192"/>
      <c r="E170" s="187"/>
      <c r="F170" s="188"/>
      <c r="G170" s="188"/>
      <c r="H170" s="188"/>
      <c r="I170" s="193"/>
      <c r="J170" s="302"/>
      <c r="K170" s="190"/>
      <c r="L170" s="191"/>
    </row>
    <row r="171" spans="2:12" s="11" customFormat="1" x14ac:dyDescent="0.25">
      <c r="B171" s="317"/>
      <c r="D171" s="192"/>
      <c r="E171" s="187"/>
      <c r="F171" s="188"/>
      <c r="G171" s="188"/>
      <c r="H171" s="188"/>
      <c r="I171" s="189"/>
      <c r="J171" s="301"/>
      <c r="K171" s="190"/>
      <c r="L171" s="191"/>
    </row>
    <row r="172" spans="2:12" s="11" customFormat="1" x14ac:dyDescent="0.25">
      <c r="B172" s="317"/>
      <c r="D172" s="192"/>
      <c r="E172" s="187"/>
      <c r="F172" s="188"/>
      <c r="G172" s="188"/>
      <c r="H172" s="188"/>
      <c r="I172" s="189"/>
      <c r="J172" s="301"/>
      <c r="K172" s="190"/>
      <c r="L172" s="191"/>
    </row>
    <row r="173" spans="2:12" s="11" customFormat="1" x14ac:dyDescent="0.25">
      <c r="B173" s="317"/>
      <c r="D173" s="192"/>
      <c r="E173" s="187"/>
      <c r="F173" s="188"/>
      <c r="G173" s="188"/>
      <c r="H173" s="188"/>
      <c r="I173" s="189"/>
      <c r="J173" s="301"/>
      <c r="K173" s="190"/>
      <c r="L173" s="191"/>
    </row>
    <row r="174" spans="2:12" s="11" customFormat="1" x14ac:dyDescent="0.25">
      <c r="B174" s="317"/>
      <c r="D174" s="192"/>
      <c r="E174" s="187"/>
      <c r="F174" s="188"/>
      <c r="G174" s="188"/>
      <c r="H174" s="188"/>
      <c r="I174" s="189"/>
      <c r="J174" s="301"/>
      <c r="K174" s="190"/>
      <c r="L174" s="191"/>
    </row>
    <row r="175" spans="2:12" s="11" customFormat="1" x14ac:dyDescent="0.25">
      <c r="B175" s="317"/>
      <c r="D175" s="192"/>
      <c r="E175" s="187"/>
      <c r="F175" s="188"/>
      <c r="G175" s="188"/>
      <c r="H175" s="188"/>
      <c r="I175" s="189"/>
      <c r="J175" s="302"/>
      <c r="K175" s="190"/>
      <c r="L175" s="191"/>
    </row>
    <row r="176" spans="2:12" s="11" customFormat="1" x14ac:dyDescent="0.25">
      <c r="B176" s="317"/>
      <c r="D176" s="192"/>
      <c r="E176" s="187"/>
      <c r="F176" s="188"/>
      <c r="G176" s="188"/>
      <c r="H176" s="188"/>
      <c r="I176" s="189"/>
      <c r="J176" s="302"/>
      <c r="K176" s="190"/>
      <c r="L176" s="191"/>
    </row>
    <row r="177" spans="2:12" s="11" customFormat="1" x14ac:dyDescent="0.25">
      <c r="B177" s="317"/>
      <c r="D177" s="192"/>
      <c r="E177" s="187"/>
      <c r="F177" s="188"/>
      <c r="G177" s="188"/>
      <c r="H177" s="188"/>
      <c r="I177" s="189"/>
      <c r="J177" s="302"/>
      <c r="K177" s="190"/>
      <c r="L177" s="191"/>
    </row>
    <row r="178" spans="2:12" s="11" customFormat="1" x14ac:dyDescent="0.25">
      <c r="B178" s="317"/>
      <c r="D178" s="192"/>
      <c r="E178" s="187"/>
      <c r="F178" s="188"/>
      <c r="G178" s="188"/>
      <c r="H178" s="188"/>
      <c r="I178" s="189"/>
      <c r="J178" s="302"/>
      <c r="K178" s="190"/>
      <c r="L178" s="191"/>
    </row>
    <row r="179" spans="2:12" s="11" customFormat="1" x14ac:dyDescent="0.25">
      <c r="B179" s="317"/>
      <c r="D179" s="192"/>
      <c r="E179" s="187"/>
      <c r="F179" s="188"/>
      <c r="G179" s="188"/>
      <c r="H179" s="188"/>
      <c r="I179" s="189"/>
      <c r="J179" s="302"/>
      <c r="K179" s="190"/>
      <c r="L179" s="191"/>
    </row>
    <row r="180" spans="2:12" s="11" customFormat="1" x14ac:dyDescent="0.25">
      <c r="B180" s="317"/>
      <c r="D180" s="192"/>
      <c r="E180" s="187"/>
      <c r="F180" s="188"/>
      <c r="G180" s="188"/>
      <c r="H180" s="188"/>
      <c r="I180" s="189"/>
      <c r="J180" s="301"/>
      <c r="K180" s="190"/>
      <c r="L180" s="191"/>
    </row>
    <row r="181" spans="2:12" s="11" customFormat="1" x14ac:dyDescent="0.25">
      <c r="B181" s="317"/>
      <c r="D181" s="192"/>
      <c r="E181" s="187"/>
      <c r="F181" s="188"/>
      <c r="G181" s="188"/>
      <c r="H181" s="188"/>
      <c r="I181" s="189"/>
      <c r="J181" s="302"/>
      <c r="K181" s="190"/>
      <c r="L181" s="191"/>
    </row>
    <row r="182" spans="2:12" s="11" customFormat="1" x14ac:dyDescent="0.25">
      <c r="B182" s="317"/>
      <c r="D182" s="192"/>
      <c r="E182" s="187"/>
      <c r="F182" s="188"/>
      <c r="G182" s="188"/>
      <c r="H182" s="188"/>
      <c r="I182" s="189"/>
      <c r="J182" s="302"/>
      <c r="K182" s="190"/>
      <c r="L182" s="191"/>
    </row>
    <row r="183" spans="2:12" s="11" customFormat="1" x14ac:dyDescent="0.25">
      <c r="B183" s="317"/>
      <c r="D183" s="192"/>
      <c r="E183" s="187"/>
      <c r="F183" s="188"/>
      <c r="G183" s="188"/>
      <c r="H183" s="188"/>
      <c r="I183" s="189"/>
      <c r="J183" s="302"/>
      <c r="K183" s="190"/>
      <c r="L183" s="191"/>
    </row>
    <row r="184" spans="2:12" s="11" customFormat="1" x14ac:dyDescent="0.25">
      <c r="B184" s="317"/>
      <c r="D184" s="192"/>
      <c r="E184" s="187"/>
      <c r="F184" s="188"/>
      <c r="G184" s="188"/>
      <c r="H184" s="188"/>
      <c r="I184" s="189"/>
      <c r="J184" s="302"/>
      <c r="K184" s="190"/>
      <c r="L184" s="191"/>
    </row>
    <row r="185" spans="2:12" s="11" customFormat="1" x14ac:dyDescent="0.25">
      <c r="B185" s="317"/>
      <c r="D185" s="192"/>
      <c r="E185" s="187"/>
      <c r="F185" s="188"/>
      <c r="G185" s="188"/>
      <c r="H185" s="188"/>
      <c r="I185" s="189"/>
      <c r="J185" s="302"/>
      <c r="K185" s="190"/>
      <c r="L185" s="191"/>
    </row>
    <row r="186" spans="2:12" s="11" customFormat="1" x14ac:dyDescent="0.25">
      <c r="B186" s="317"/>
      <c r="D186" s="188"/>
      <c r="E186" s="187"/>
      <c r="F186" s="188"/>
      <c r="G186" s="188"/>
      <c r="H186" s="188"/>
      <c r="I186" s="189"/>
      <c r="J186" s="301"/>
      <c r="K186" s="190"/>
      <c r="L186" s="191"/>
    </row>
    <row r="187" spans="2:12" s="11" customFormat="1" x14ac:dyDescent="0.25">
      <c r="B187" s="317"/>
      <c r="D187" s="188"/>
      <c r="E187" s="187"/>
      <c r="F187" s="188"/>
      <c r="G187" s="188"/>
      <c r="H187" s="188"/>
      <c r="I187" s="189"/>
      <c r="J187" s="301"/>
      <c r="K187" s="190"/>
      <c r="L187" s="191"/>
    </row>
    <row r="188" spans="2:12" s="11" customFormat="1" x14ac:dyDescent="0.25">
      <c r="B188" s="317"/>
      <c r="D188" s="188"/>
      <c r="E188" s="187"/>
      <c r="F188" s="188"/>
      <c r="G188" s="188"/>
      <c r="H188" s="188"/>
      <c r="I188" s="189"/>
      <c r="J188" s="301"/>
      <c r="K188" s="190"/>
      <c r="L188" s="191"/>
    </row>
    <row r="189" spans="2:12" s="11" customFormat="1" x14ac:dyDescent="0.25">
      <c r="B189" s="317"/>
      <c r="D189" s="188"/>
      <c r="E189" s="187"/>
      <c r="F189" s="188"/>
      <c r="G189" s="188"/>
      <c r="H189" s="188"/>
      <c r="I189" s="189"/>
      <c r="J189" s="301"/>
      <c r="K189" s="190"/>
      <c r="L189" s="191"/>
    </row>
    <row r="190" spans="2:12" s="11" customFormat="1" x14ac:dyDescent="0.25">
      <c r="B190" s="317"/>
      <c r="D190" s="192"/>
      <c r="E190" s="187"/>
      <c r="F190" s="188"/>
      <c r="G190" s="188"/>
      <c r="H190" s="188"/>
      <c r="I190" s="193"/>
      <c r="J190" s="302"/>
      <c r="K190" s="190"/>
      <c r="L190" s="191"/>
    </row>
    <row r="191" spans="2:12" s="11" customFormat="1" x14ac:dyDescent="0.25">
      <c r="B191" s="317"/>
      <c r="D191" s="192"/>
      <c r="E191" s="187"/>
      <c r="F191" s="188"/>
      <c r="G191" s="188"/>
      <c r="H191" s="188"/>
      <c r="I191" s="189"/>
      <c r="J191" s="301"/>
      <c r="K191" s="190"/>
      <c r="L191" s="191"/>
    </row>
    <row r="192" spans="2:12" s="11" customFormat="1" x14ac:dyDescent="0.25">
      <c r="B192" s="317"/>
      <c r="D192" s="192"/>
      <c r="E192" s="187"/>
      <c r="F192" s="188"/>
      <c r="G192" s="188"/>
      <c r="H192" s="188"/>
      <c r="I192" s="189"/>
      <c r="J192" s="302"/>
      <c r="K192" s="190"/>
      <c r="L192" s="191"/>
    </row>
    <row r="193" spans="2:12" s="11" customFormat="1" x14ac:dyDescent="0.25">
      <c r="B193" s="317"/>
      <c r="D193" s="192"/>
      <c r="E193" s="187"/>
      <c r="F193" s="188"/>
      <c r="G193" s="188"/>
      <c r="H193" s="188"/>
      <c r="I193" s="189"/>
      <c r="J193" s="301"/>
      <c r="K193" s="190"/>
      <c r="L193" s="191"/>
    </row>
    <row r="194" spans="2:12" s="11" customFormat="1" x14ac:dyDescent="0.25">
      <c r="B194" s="317"/>
      <c r="D194" s="192"/>
      <c r="E194" s="187"/>
      <c r="F194" s="188"/>
      <c r="G194" s="188"/>
      <c r="H194" s="188"/>
      <c r="I194" s="189"/>
      <c r="J194" s="301"/>
      <c r="K194" s="190"/>
      <c r="L194" s="191"/>
    </row>
    <row r="195" spans="2:12" s="11" customFormat="1" x14ac:dyDescent="0.25">
      <c r="B195" s="317"/>
      <c r="D195" s="192"/>
      <c r="E195" s="187"/>
      <c r="F195" s="188"/>
      <c r="G195" s="188"/>
      <c r="H195" s="188"/>
      <c r="I195" s="189"/>
      <c r="J195" s="302"/>
      <c r="K195" s="190"/>
      <c r="L195" s="191"/>
    </row>
    <row r="196" spans="2:12" s="11" customFormat="1" x14ac:dyDescent="0.25">
      <c r="B196" s="317"/>
      <c r="D196" s="192"/>
      <c r="E196" s="187"/>
      <c r="F196" s="188"/>
      <c r="G196" s="188"/>
      <c r="H196" s="188"/>
      <c r="I196" s="189"/>
      <c r="J196" s="302"/>
      <c r="K196" s="190"/>
      <c r="L196" s="191"/>
    </row>
    <row r="197" spans="2:12" s="11" customFormat="1" x14ac:dyDescent="0.25">
      <c r="B197" s="317"/>
      <c r="D197" s="192"/>
      <c r="E197" s="187"/>
      <c r="F197" s="188"/>
      <c r="G197" s="188"/>
      <c r="H197" s="188"/>
      <c r="I197" s="189"/>
      <c r="J197" s="302"/>
      <c r="K197" s="190"/>
      <c r="L197" s="191"/>
    </row>
    <row r="198" spans="2:12" s="11" customFormat="1" x14ac:dyDescent="0.25">
      <c r="B198" s="317"/>
      <c r="D198" s="192"/>
      <c r="E198" s="187"/>
      <c r="F198" s="188"/>
      <c r="G198" s="188"/>
      <c r="H198" s="188"/>
      <c r="I198" s="189"/>
      <c r="J198" s="302"/>
      <c r="K198" s="190"/>
      <c r="L198" s="191"/>
    </row>
    <row r="199" spans="2:12" s="11" customFormat="1" x14ac:dyDescent="0.25">
      <c r="B199" s="317"/>
      <c r="D199" s="192"/>
      <c r="E199" s="187"/>
      <c r="F199" s="188"/>
      <c r="G199" s="188"/>
      <c r="H199" s="188"/>
      <c r="I199" s="193"/>
      <c r="J199" s="302"/>
      <c r="K199" s="190"/>
      <c r="L199" s="191"/>
    </row>
    <row r="200" spans="2:12" s="11" customFormat="1" x14ac:dyDescent="0.25">
      <c r="B200" s="317"/>
      <c r="D200" s="192"/>
      <c r="E200" s="187"/>
      <c r="F200" s="188"/>
      <c r="G200" s="188"/>
      <c r="H200" s="188"/>
      <c r="I200" s="189"/>
      <c r="J200" s="302"/>
      <c r="K200" s="190"/>
      <c r="L200" s="191"/>
    </row>
    <row r="201" spans="2:12" s="11" customFormat="1" x14ac:dyDescent="0.25">
      <c r="B201" s="317"/>
      <c r="D201" s="192"/>
      <c r="E201" s="187"/>
      <c r="F201" s="188"/>
      <c r="G201" s="188"/>
      <c r="H201" s="188"/>
      <c r="I201" s="189"/>
      <c r="J201" s="302"/>
      <c r="K201" s="190"/>
      <c r="L201" s="191"/>
    </row>
    <row r="202" spans="2:12" s="11" customFormat="1" x14ac:dyDescent="0.25">
      <c r="B202" s="317"/>
      <c r="D202" s="192"/>
      <c r="E202" s="187"/>
      <c r="F202" s="188"/>
      <c r="G202" s="188"/>
      <c r="H202" s="188"/>
      <c r="I202" s="189"/>
      <c r="J202" s="301"/>
      <c r="K202" s="190"/>
      <c r="L202" s="191"/>
    </row>
    <row r="203" spans="2:12" s="11" customFormat="1" x14ac:dyDescent="0.25">
      <c r="B203" s="317"/>
      <c r="D203" s="188"/>
      <c r="E203" s="187"/>
      <c r="F203" s="188"/>
      <c r="G203" s="188"/>
      <c r="H203" s="188"/>
      <c r="I203" s="189"/>
      <c r="J203" s="301"/>
      <c r="K203" s="190"/>
      <c r="L203" s="191"/>
    </row>
    <row r="204" spans="2:12" s="11" customFormat="1" x14ac:dyDescent="0.25">
      <c r="B204" s="317"/>
      <c r="D204" s="192"/>
      <c r="E204" s="187"/>
      <c r="F204" s="188"/>
      <c r="G204" s="188"/>
      <c r="H204" s="188"/>
      <c r="I204" s="189"/>
      <c r="J204" s="302"/>
      <c r="K204" s="190"/>
      <c r="L204" s="194"/>
    </row>
    <row r="205" spans="2:12" s="11" customFormat="1" x14ac:dyDescent="0.25">
      <c r="B205" s="317"/>
      <c r="D205" s="192"/>
      <c r="E205" s="187"/>
      <c r="F205" s="188"/>
      <c r="G205" s="188"/>
      <c r="H205" s="188"/>
      <c r="I205" s="189"/>
      <c r="J205" s="301"/>
      <c r="K205" s="190"/>
      <c r="L205" s="191"/>
    </row>
    <row r="206" spans="2:12" s="11" customFormat="1" x14ac:dyDescent="0.25">
      <c r="B206" s="317"/>
      <c r="D206" s="192"/>
      <c r="E206" s="187"/>
      <c r="F206" s="188"/>
      <c r="G206" s="188"/>
      <c r="H206" s="188"/>
      <c r="I206" s="189"/>
      <c r="J206" s="302"/>
      <c r="K206" s="190"/>
      <c r="L206" s="191"/>
    </row>
    <row r="207" spans="2:12" s="11" customFormat="1" x14ac:dyDescent="0.25">
      <c r="B207" s="317"/>
      <c r="D207" s="192"/>
      <c r="E207" s="187"/>
      <c r="F207" s="188"/>
      <c r="G207" s="188"/>
      <c r="H207" s="188"/>
      <c r="I207" s="189"/>
      <c r="J207" s="302"/>
      <c r="K207" s="190"/>
      <c r="L207" s="191"/>
    </row>
    <row r="208" spans="2:12" s="11" customFormat="1" x14ac:dyDescent="0.25">
      <c r="B208" s="317"/>
      <c r="D208" s="192"/>
      <c r="E208" s="187"/>
      <c r="F208" s="188"/>
      <c r="G208" s="188"/>
      <c r="H208" s="188"/>
      <c r="I208" s="189"/>
      <c r="J208" s="301"/>
      <c r="K208" s="190"/>
      <c r="L208" s="191"/>
    </row>
    <row r="209" spans="2:12" s="11" customFormat="1" x14ac:dyDescent="0.25">
      <c r="B209" s="317"/>
      <c r="D209" s="192"/>
      <c r="E209" s="187"/>
      <c r="F209" s="188"/>
      <c r="G209" s="188"/>
      <c r="H209" s="188"/>
      <c r="I209" s="189"/>
      <c r="J209" s="302"/>
      <c r="K209" s="190"/>
      <c r="L209" s="191"/>
    </row>
    <row r="210" spans="2:12" s="11" customFormat="1" x14ac:dyDescent="0.25">
      <c r="B210" s="317"/>
      <c r="D210" s="192"/>
      <c r="E210" s="187"/>
      <c r="F210" s="188"/>
      <c r="G210" s="188"/>
      <c r="H210" s="188"/>
      <c r="I210" s="189"/>
      <c r="J210" s="301"/>
      <c r="K210" s="190"/>
      <c r="L210" s="191"/>
    </row>
    <row r="211" spans="2:12" s="11" customFormat="1" x14ac:dyDescent="0.25">
      <c r="B211" s="317"/>
      <c r="D211" s="192"/>
      <c r="E211" s="187"/>
      <c r="F211" s="188"/>
      <c r="G211" s="188"/>
      <c r="H211" s="188"/>
      <c r="I211" s="189"/>
      <c r="J211" s="301"/>
      <c r="K211" s="190"/>
      <c r="L211" s="191"/>
    </row>
    <row r="212" spans="2:12" s="11" customFormat="1" x14ac:dyDescent="0.25">
      <c r="B212" s="317"/>
      <c r="D212" s="192"/>
      <c r="E212" s="187"/>
      <c r="F212" s="188"/>
      <c r="G212" s="188"/>
      <c r="H212" s="188"/>
      <c r="I212" s="189"/>
      <c r="J212" s="301"/>
      <c r="K212" s="190"/>
      <c r="L212" s="191"/>
    </row>
    <row r="213" spans="2:12" s="11" customFormat="1" x14ac:dyDescent="0.25">
      <c r="B213" s="317"/>
      <c r="D213" s="192"/>
      <c r="E213" s="187"/>
      <c r="F213" s="188"/>
      <c r="G213" s="188"/>
      <c r="H213" s="188"/>
      <c r="I213" s="189"/>
      <c r="J213" s="301"/>
      <c r="K213" s="190"/>
      <c r="L213" s="191"/>
    </row>
    <row r="214" spans="2:12" s="11" customFormat="1" x14ac:dyDescent="0.25">
      <c r="B214" s="317"/>
      <c r="D214" s="192"/>
      <c r="E214" s="187"/>
      <c r="F214" s="188"/>
      <c r="G214" s="188"/>
      <c r="H214" s="188"/>
      <c r="I214" s="189"/>
      <c r="J214" s="301"/>
      <c r="K214" s="190"/>
      <c r="L214" s="191"/>
    </row>
    <row r="215" spans="2:12" s="11" customFormat="1" x14ac:dyDescent="0.25">
      <c r="B215" s="317"/>
      <c r="D215" s="192"/>
      <c r="E215" s="187"/>
      <c r="F215" s="188"/>
      <c r="G215" s="188"/>
      <c r="H215" s="188"/>
      <c r="I215" s="189"/>
      <c r="J215" s="301"/>
      <c r="K215" s="190"/>
      <c r="L215" s="191"/>
    </row>
    <row r="216" spans="2:12" s="11" customFormat="1" x14ac:dyDescent="0.25">
      <c r="B216" s="317"/>
      <c r="D216" s="192"/>
      <c r="E216" s="187"/>
      <c r="F216" s="188"/>
      <c r="G216" s="188"/>
      <c r="H216" s="188"/>
      <c r="I216" s="189"/>
      <c r="J216" s="301"/>
      <c r="K216" s="190"/>
      <c r="L216" s="191"/>
    </row>
    <row r="217" spans="2:12" s="11" customFormat="1" x14ac:dyDescent="0.25">
      <c r="B217" s="317"/>
      <c r="D217" s="192"/>
      <c r="E217" s="187"/>
      <c r="F217" s="188"/>
      <c r="G217" s="188"/>
      <c r="H217" s="188"/>
      <c r="I217" s="189"/>
      <c r="J217" s="301"/>
      <c r="K217" s="190"/>
      <c r="L217" s="191"/>
    </row>
    <row r="218" spans="2:12" s="11" customFormat="1" x14ac:dyDescent="0.25">
      <c r="B218" s="317"/>
      <c r="D218" s="192"/>
      <c r="E218" s="187"/>
      <c r="F218" s="188"/>
      <c r="G218" s="188"/>
      <c r="H218" s="188"/>
      <c r="I218" s="189"/>
      <c r="J218" s="301"/>
      <c r="K218" s="190"/>
      <c r="L218" s="191"/>
    </row>
    <row r="219" spans="2:12" s="11" customFormat="1" x14ac:dyDescent="0.25">
      <c r="B219" s="317"/>
      <c r="D219" s="192"/>
      <c r="E219" s="187"/>
      <c r="F219" s="188"/>
      <c r="G219" s="188"/>
      <c r="H219" s="188"/>
      <c r="I219" s="189"/>
      <c r="J219" s="301"/>
      <c r="K219" s="190"/>
      <c r="L219" s="191"/>
    </row>
    <row r="220" spans="2:12" s="11" customFormat="1" x14ac:dyDescent="0.25">
      <c r="B220" s="317"/>
      <c r="D220" s="192"/>
      <c r="E220" s="187"/>
      <c r="F220" s="188"/>
      <c r="G220" s="188"/>
      <c r="H220" s="188"/>
      <c r="I220" s="189"/>
      <c r="J220" s="301"/>
      <c r="K220" s="190"/>
      <c r="L220" s="191"/>
    </row>
    <row r="221" spans="2:12" s="11" customFormat="1" x14ac:dyDescent="0.25">
      <c r="B221" s="317"/>
      <c r="D221" s="192"/>
      <c r="E221" s="187"/>
      <c r="F221" s="188"/>
      <c r="G221" s="188"/>
      <c r="H221" s="188"/>
      <c r="I221" s="189"/>
      <c r="J221" s="301"/>
      <c r="K221" s="190"/>
      <c r="L221" s="191"/>
    </row>
    <row r="222" spans="2:12" s="11" customFormat="1" x14ac:dyDescent="0.25">
      <c r="B222" s="317"/>
      <c r="D222" s="192"/>
      <c r="E222" s="187"/>
      <c r="F222" s="188"/>
      <c r="G222" s="188"/>
      <c r="H222" s="188"/>
      <c r="I222" s="189"/>
      <c r="J222" s="301"/>
      <c r="K222" s="190"/>
      <c r="L222" s="191"/>
    </row>
    <row r="223" spans="2:12" s="11" customFormat="1" x14ac:dyDescent="0.25">
      <c r="B223" s="317"/>
      <c r="D223" s="192"/>
      <c r="E223" s="187"/>
      <c r="F223" s="188"/>
      <c r="G223" s="188"/>
      <c r="H223" s="188"/>
      <c r="I223" s="189"/>
      <c r="J223" s="301"/>
      <c r="K223" s="190"/>
      <c r="L223" s="191"/>
    </row>
    <row r="224" spans="2:12" s="11" customFormat="1" x14ac:dyDescent="0.25">
      <c r="B224" s="317"/>
      <c r="D224" s="192"/>
      <c r="E224" s="187"/>
      <c r="F224" s="188"/>
      <c r="G224" s="188"/>
      <c r="H224" s="188"/>
      <c r="I224" s="189"/>
      <c r="J224" s="302"/>
      <c r="K224" s="190"/>
      <c r="L224" s="191"/>
    </row>
    <row r="225" spans="2:12" s="11" customFormat="1" x14ac:dyDescent="0.25">
      <c r="B225" s="317"/>
      <c r="D225" s="192"/>
      <c r="E225" s="187"/>
      <c r="F225" s="188"/>
      <c r="G225" s="188"/>
      <c r="H225" s="188"/>
      <c r="I225" s="195"/>
      <c r="J225" s="301"/>
      <c r="K225" s="189"/>
      <c r="L225" s="191"/>
    </row>
    <row r="226" spans="2:12" s="11" customFormat="1" x14ac:dyDescent="0.25">
      <c r="B226" s="317"/>
      <c r="D226" s="192"/>
      <c r="E226" s="187"/>
      <c r="F226" s="188"/>
      <c r="G226" s="188"/>
      <c r="H226" s="188"/>
      <c r="I226" s="189"/>
      <c r="J226" s="302"/>
      <c r="K226" s="190"/>
      <c r="L226" s="191"/>
    </row>
    <row r="227" spans="2:12" s="11" customFormat="1" x14ac:dyDescent="0.25">
      <c r="B227" s="317"/>
      <c r="D227" s="192"/>
      <c r="E227" s="187"/>
      <c r="F227" s="188"/>
      <c r="G227" s="188"/>
      <c r="H227" s="188"/>
      <c r="I227" s="189"/>
      <c r="J227" s="301"/>
      <c r="K227" s="190"/>
      <c r="L227" s="191"/>
    </row>
    <row r="228" spans="2:12" s="11" customFormat="1" x14ac:dyDescent="0.25">
      <c r="B228" s="317"/>
      <c r="D228" s="192"/>
      <c r="E228" s="187"/>
      <c r="F228" s="188"/>
      <c r="G228" s="188"/>
      <c r="H228" s="188"/>
      <c r="I228" s="189"/>
      <c r="J228" s="302"/>
      <c r="K228" s="190"/>
      <c r="L228" s="191"/>
    </row>
    <row r="229" spans="2:12" s="11" customFormat="1" x14ac:dyDescent="0.25">
      <c r="B229" s="317"/>
      <c r="D229" s="192"/>
      <c r="E229" s="187"/>
      <c r="F229" s="188"/>
      <c r="G229" s="188"/>
      <c r="H229" s="188"/>
      <c r="I229" s="189"/>
      <c r="J229" s="302"/>
      <c r="K229" s="190"/>
      <c r="L229" s="191"/>
    </row>
    <row r="230" spans="2:12" s="11" customFormat="1" x14ac:dyDescent="0.25">
      <c r="B230" s="317"/>
      <c r="D230" s="192"/>
      <c r="E230" s="187"/>
      <c r="F230" s="188"/>
      <c r="G230" s="188"/>
      <c r="H230" s="188"/>
      <c r="I230" s="189"/>
      <c r="J230" s="302"/>
      <c r="K230" s="190"/>
      <c r="L230" s="191"/>
    </row>
    <row r="231" spans="2:12" s="11" customFormat="1" x14ac:dyDescent="0.25">
      <c r="B231" s="317"/>
      <c r="D231" s="192"/>
      <c r="E231" s="187"/>
      <c r="F231" s="188"/>
      <c r="G231" s="188"/>
      <c r="H231" s="188"/>
      <c r="I231" s="189"/>
      <c r="J231" s="301"/>
      <c r="K231" s="190"/>
      <c r="L231" s="191"/>
    </row>
    <row r="232" spans="2:12" s="11" customFormat="1" x14ac:dyDescent="0.25">
      <c r="B232" s="317"/>
      <c r="D232" s="192"/>
      <c r="E232" s="187"/>
      <c r="F232" s="188"/>
      <c r="G232" s="188"/>
      <c r="H232" s="188"/>
      <c r="I232" s="189"/>
      <c r="J232" s="301"/>
      <c r="K232" s="190"/>
      <c r="L232" s="191"/>
    </row>
    <row r="233" spans="2:12" s="11" customFormat="1" x14ac:dyDescent="0.25">
      <c r="B233" s="317"/>
      <c r="D233" s="192"/>
      <c r="E233" s="187"/>
      <c r="F233" s="188"/>
      <c r="G233" s="188"/>
      <c r="H233" s="188"/>
      <c r="I233" s="189"/>
      <c r="J233" s="301"/>
      <c r="K233" s="190"/>
      <c r="L233" s="191"/>
    </row>
    <row r="234" spans="2:12" s="11" customFormat="1" x14ac:dyDescent="0.25">
      <c r="B234" s="317"/>
      <c r="D234" s="192"/>
      <c r="E234" s="187"/>
      <c r="F234" s="188"/>
      <c r="G234" s="188"/>
      <c r="H234" s="188"/>
      <c r="I234" s="189"/>
      <c r="J234" s="301"/>
      <c r="K234" s="190"/>
      <c r="L234" s="191"/>
    </row>
    <row r="235" spans="2:12" s="11" customFormat="1" x14ac:dyDescent="0.25">
      <c r="B235" s="317"/>
      <c r="D235" s="192"/>
      <c r="E235" s="187"/>
      <c r="F235" s="188"/>
      <c r="G235" s="188"/>
      <c r="H235" s="188"/>
      <c r="I235" s="189"/>
      <c r="J235" s="302"/>
      <c r="K235" s="190"/>
      <c r="L235" s="191"/>
    </row>
    <row r="236" spans="2:12" s="11" customFormat="1" x14ac:dyDescent="0.25">
      <c r="B236" s="317"/>
      <c r="D236" s="192"/>
      <c r="E236" s="187"/>
      <c r="F236" s="188"/>
      <c r="G236" s="188"/>
      <c r="H236" s="188"/>
      <c r="I236" s="189"/>
      <c r="J236" s="301"/>
      <c r="K236" s="190"/>
      <c r="L236" s="191"/>
    </row>
    <row r="237" spans="2:12" s="11" customFormat="1" x14ac:dyDescent="0.25">
      <c r="B237" s="317"/>
      <c r="D237" s="192"/>
      <c r="E237" s="187"/>
      <c r="F237" s="188"/>
      <c r="G237" s="188"/>
      <c r="H237" s="188"/>
      <c r="I237" s="189"/>
      <c r="J237" s="301"/>
      <c r="K237" s="190"/>
      <c r="L237" s="191"/>
    </row>
    <row r="238" spans="2:12" s="11" customFormat="1" x14ac:dyDescent="0.25">
      <c r="B238" s="317"/>
      <c r="D238" s="188"/>
      <c r="E238" s="187"/>
      <c r="F238" s="188"/>
      <c r="G238" s="188"/>
      <c r="H238" s="188"/>
      <c r="I238" s="193"/>
      <c r="J238" s="302"/>
      <c r="K238" s="190"/>
      <c r="L238" s="191"/>
    </row>
    <row r="239" spans="2:12" s="11" customFormat="1" x14ac:dyDescent="0.25">
      <c r="B239" s="317"/>
      <c r="D239" s="192"/>
      <c r="E239" s="187"/>
      <c r="F239" s="188"/>
      <c r="G239" s="188"/>
      <c r="H239" s="188"/>
      <c r="I239" s="189"/>
      <c r="J239" s="301"/>
      <c r="K239" s="190"/>
      <c r="L239" s="191"/>
    </row>
    <row r="240" spans="2:12" s="11" customFormat="1" x14ac:dyDescent="0.25">
      <c r="B240" s="317"/>
      <c r="D240" s="192"/>
      <c r="E240" s="187"/>
      <c r="F240" s="188"/>
      <c r="G240" s="188"/>
      <c r="H240" s="188"/>
      <c r="I240" s="189"/>
      <c r="J240" s="301"/>
      <c r="K240" s="190"/>
      <c r="L240" s="191"/>
    </row>
    <row r="241" spans="2:12" s="11" customFormat="1" x14ac:dyDescent="0.25">
      <c r="B241" s="317"/>
      <c r="D241" s="192"/>
      <c r="E241" s="187"/>
      <c r="F241" s="188"/>
      <c r="G241" s="188"/>
      <c r="H241" s="188"/>
      <c r="I241" s="189"/>
      <c r="J241" s="301"/>
      <c r="K241" s="190"/>
      <c r="L241" s="191"/>
    </row>
    <row r="242" spans="2:12" s="11" customFormat="1" x14ac:dyDescent="0.25">
      <c r="B242" s="317"/>
      <c r="D242" s="192"/>
      <c r="E242" s="187"/>
      <c r="F242" s="188"/>
      <c r="G242" s="188"/>
      <c r="H242" s="188"/>
      <c r="I242" s="189"/>
      <c r="J242" s="302"/>
      <c r="K242" s="190"/>
      <c r="L242" s="191"/>
    </row>
    <row r="243" spans="2:12" s="11" customFormat="1" x14ac:dyDescent="0.25">
      <c r="B243" s="317"/>
      <c r="D243" s="192"/>
      <c r="E243" s="187"/>
      <c r="F243" s="188"/>
      <c r="G243" s="188"/>
      <c r="H243" s="188"/>
      <c r="I243" s="189"/>
      <c r="J243" s="302"/>
      <c r="K243" s="190"/>
      <c r="L243" s="191"/>
    </row>
    <row r="244" spans="2:12" s="11" customFormat="1" x14ac:dyDescent="0.25">
      <c r="B244" s="317"/>
      <c r="D244" s="192"/>
      <c r="E244" s="187"/>
      <c r="F244" s="188"/>
      <c r="G244" s="188"/>
      <c r="H244" s="188"/>
      <c r="I244" s="193"/>
      <c r="J244" s="302"/>
      <c r="K244" s="190"/>
      <c r="L244" s="191"/>
    </row>
    <row r="245" spans="2:12" s="11" customFormat="1" x14ac:dyDescent="0.25">
      <c r="B245" s="317"/>
      <c r="D245" s="192"/>
      <c r="E245" s="187"/>
      <c r="F245" s="188"/>
      <c r="G245" s="188"/>
      <c r="H245" s="188"/>
      <c r="I245" s="189"/>
      <c r="J245" s="302"/>
      <c r="K245" s="190"/>
      <c r="L245" s="191"/>
    </row>
    <row r="246" spans="2:12" s="11" customFormat="1" x14ac:dyDescent="0.25">
      <c r="B246" s="317"/>
      <c r="D246" s="192"/>
      <c r="E246" s="187"/>
      <c r="F246" s="188"/>
      <c r="G246" s="188"/>
      <c r="H246" s="188"/>
      <c r="I246" s="189"/>
      <c r="J246" s="301"/>
      <c r="K246" s="190"/>
      <c r="L246" s="191"/>
    </row>
    <row r="247" spans="2:12" s="11" customFormat="1" x14ac:dyDescent="0.25">
      <c r="B247" s="317"/>
      <c r="D247" s="192"/>
      <c r="E247" s="187"/>
      <c r="F247" s="188"/>
      <c r="G247" s="188"/>
      <c r="H247" s="188"/>
      <c r="I247" s="189"/>
      <c r="J247" s="301"/>
      <c r="K247" s="190"/>
      <c r="L247" s="191"/>
    </row>
    <row r="248" spans="2:12" s="11" customFormat="1" x14ac:dyDescent="0.25">
      <c r="B248" s="317"/>
      <c r="D248" s="192"/>
      <c r="E248" s="187"/>
      <c r="F248" s="188"/>
      <c r="G248" s="188"/>
      <c r="H248" s="188"/>
      <c r="I248" s="193"/>
      <c r="J248" s="302"/>
      <c r="K248" s="190"/>
      <c r="L248" s="191"/>
    </row>
    <row r="249" spans="2:12" s="11" customFormat="1" x14ac:dyDescent="0.25">
      <c r="B249" s="317"/>
      <c r="D249" s="196"/>
      <c r="E249" s="183"/>
      <c r="F249" s="196"/>
      <c r="G249" s="196"/>
      <c r="H249" s="196"/>
      <c r="I249" s="197"/>
      <c r="J249" s="303"/>
      <c r="K249" s="198"/>
      <c r="L249" s="191"/>
    </row>
    <row r="250" spans="2:12" s="11" customFormat="1" x14ac:dyDescent="0.25">
      <c r="B250" s="317"/>
      <c r="E250" s="10"/>
      <c r="J250" s="57"/>
    </row>
    <row r="251" spans="2:12" s="11" customFormat="1" x14ac:dyDescent="0.25">
      <c r="B251" s="317"/>
      <c r="E251" s="10"/>
      <c r="J251" s="57"/>
    </row>
    <row r="252" spans="2:12" s="11" customFormat="1" x14ac:dyDescent="0.25">
      <c r="B252" s="317"/>
      <c r="E252" s="10"/>
      <c r="J252" s="57"/>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Total</vt:lpstr>
      <vt:lpstr>Maine</vt:lpstr>
      <vt:lpstr>NH</vt:lpstr>
      <vt:lpstr>Mass</vt:lpstr>
      <vt:lpstr>RI</vt:lpstr>
      <vt:lpstr>CT</vt:lpstr>
      <vt:lpstr>NY - LIS</vt:lpstr>
      <vt:lpstr>NY - Peconic</vt:lpstr>
      <vt:lpstr>NY - Atlantic</vt:lpstr>
      <vt:lpstr>NJ</vt:lpstr>
      <vt:lpstr>DE</vt:lpstr>
      <vt:lpstr>MD</vt:lpstr>
      <vt:lpstr>VA</vt:lpstr>
      <vt:lpstr>NC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Monegan Rice</dc:creator>
  <cp:lastModifiedBy>Tracy Monegan Rice</cp:lastModifiedBy>
  <dcterms:created xsi:type="dcterms:W3CDTF">2012-02-27T22:04:56Z</dcterms:created>
  <dcterms:modified xsi:type="dcterms:W3CDTF">2017-03-20T14:30:45Z</dcterms:modified>
</cp:coreProperties>
</file>